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echtverband-my.sharepoint.com/personal/alessio_pietra_swiss-fencing_ch/Documents/Desktop/"/>
    </mc:Choice>
  </mc:AlternateContent>
  <xr:revisionPtr revIDLastSave="125" documentId="8_{C5F32A47-75FE-49A4-8813-C2CE895501BA}" xr6:coauthVersionLast="47" xr6:coauthVersionMax="47" xr10:uidLastSave="{62113B6D-FFAA-4133-B366-A647F435F6D7}"/>
  <bookViews>
    <workbookView xWindow="-110" yWindow="-110" windowWidth="19420" windowHeight="11500" xr2:uid="{00000000-000D-0000-FFFF-FFFF00000000}"/>
  </bookViews>
  <sheets>
    <sheet name="Spesen - Frais" sheetId="4" r:id="rId1"/>
    <sheet name="Belege - Justificatifs" sheetId="7" r:id="rId2"/>
    <sheet name="Masterdata" sheetId="5" state="hidden" r:id="rId3"/>
  </sheets>
  <definedNames>
    <definedName name="AmountInCHF">'Spesen - Frais'!$I$16:$I$27</definedName>
    <definedName name="Boolean_DE">Masterdata!$G$4:$G$5</definedName>
    <definedName name="Category_DE">Masterdata!$F$4:$F$9</definedName>
    <definedName name="CostType">'Spesen - Frais'!$D$16:$D$27</definedName>
    <definedName name="Currency">'Spesen - Frais'!$E$16:$E$27</definedName>
    <definedName name="_xlnm.Print_Area" localSheetId="0">'Spesen - Frais'!$A:$I</definedName>
    <definedName name="ForeignCurrency">'Spesen - Frais'!$G$7:$I$12</definedName>
    <definedName name="ForeignCurrencySymbol">'Spesen - Frais'!$G$7:$G$12</definedName>
    <definedName name="Kostenarten_DE">Masterdata!$B$4:$B$10</definedName>
    <definedName name="Language">'Spesen - Frais'!$R$4</definedName>
    <definedName name="Quantity">'Spesen - Frais'!$G$16:$G$27</definedName>
    <definedName name="Recipient_DE">Masterdata!$H$4:$J$11</definedName>
    <definedName name="Role">'Spesen - Frais'!$D$8</definedName>
    <definedName name="Role_DE">Masterdata!$E$4:$E$9</definedName>
    <definedName name="SubventionInPercent">'Spesen - Frais'!$D$30</definedName>
    <definedName name="Text_DE">Masterdata!$C$4:$C$42</definedName>
    <definedName name="Text_FR">Masterdata!$D$4:$D$42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A44" i="4"/>
  <c r="D3" i="4"/>
  <c r="A36" i="4"/>
  <c r="A43" i="4"/>
  <c r="P17" i="4"/>
  <c r="P18" i="4"/>
  <c r="P19" i="4"/>
  <c r="P20" i="4"/>
  <c r="P21" i="4"/>
  <c r="P22" i="4"/>
  <c r="P23" i="4"/>
  <c r="P24" i="4"/>
  <c r="P25" i="4"/>
  <c r="P26" i="4"/>
  <c r="P27" i="4"/>
  <c r="P16" i="4"/>
  <c r="C8" i="4"/>
  <c r="N27" i="4"/>
  <c r="N26" i="4"/>
  <c r="N25" i="4"/>
  <c r="N24" i="4"/>
  <c r="N23" i="4"/>
  <c r="N22" i="4"/>
  <c r="N21" i="4"/>
  <c r="N20" i="4"/>
  <c r="N19" i="4"/>
  <c r="N18" i="4"/>
  <c r="N17" i="4"/>
  <c r="N16" i="4"/>
  <c r="O27" i="4"/>
  <c r="O26" i="4"/>
  <c r="O25" i="4"/>
  <c r="O24" i="4"/>
  <c r="O23" i="4"/>
  <c r="O22" i="4"/>
  <c r="O21" i="4"/>
  <c r="O20" i="4"/>
  <c r="O19" i="4"/>
  <c r="O18" i="4"/>
  <c r="O16" i="4"/>
  <c r="O17" i="4"/>
  <c r="M27" i="4"/>
  <c r="L27" i="4"/>
  <c r="K27" i="4"/>
  <c r="M26" i="4"/>
  <c r="L26" i="4"/>
  <c r="K26" i="4"/>
  <c r="J26" i="4" s="1" a="1"/>
  <c r="M25" i="4"/>
  <c r="L25" i="4"/>
  <c r="K25" i="4"/>
  <c r="M24" i="4"/>
  <c r="L24" i="4"/>
  <c r="K24" i="4"/>
  <c r="M23" i="4"/>
  <c r="L23" i="4"/>
  <c r="K23" i="4"/>
  <c r="M22" i="4"/>
  <c r="L22" i="4"/>
  <c r="K22" i="4"/>
  <c r="M21" i="4"/>
  <c r="L21" i="4"/>
  <c r="K21" i="4"/>
  <c r="M20" i="4"/>
  <c r="L20" i="4"/>
  <c r="K20" i="4"/>
  <c r="M19" i="4"/>
  <c r="L19" i="4"/>
  <c r="K19" i="4"/>
  <c r="M17" i="4"/>
  <c r="L17" i="4"/>
  <c r="K17" i="4"/>
  <c r="M16" i="4"/>
  <c r="L16" i="4"/>
  <c r="K16" i="4"/>
  <c r="M18" i="4"/>
  <c r="K18" i="4"/>
  <c r="L18" i="4"/>
  <c r="A33" i="4"/>
  <c r="G40" i="4"/>
  <c r="G41" i="4"/>
  <c r="G38" i="4"/>
  <c r="G33" i="4"/>
  <c r="G34" i="4"/>
  <c r="G35" i="4"/>
  <c r="G36" i="4"/>
  <c r="G37" i="4"/>
  <c r="G32" i="4"/>
  <c r="A11" i="4"/>
  <c r="A12" i="4"/>
  <c r="G15" i="4"/>
  <c r="A10" i="4"/>
  <c r="Q4" i="4"/>
  <c r="A41" i="4"/>
  <c r="A40" i="4"/>
  <c r="A14" i="4"/>
  <c r="G39" i="4"/>
  <c r="A37" i="4"/>
  <c r="A35" i="4"/>
  <c r="A32" i="4"/>
  <c r="A31" i="4"/>
  <c r="A30" i="4"/>
  <c r="D15" i="4"/>
  <c r="H6" i="4"/>
  <c r="H15" i="4"/>
  <c r="A15" i="4"/>
  <c r="I15" i="4"/>
  <c r="E15" i="4"/>
  <c r="A9" i="4"/>
  <c r="A6" i="4"/>
  <c r="D1" i="4"/>
  <c r="A28" i="4" l="1" a="1"/>
  <c r="J27" i="4" a="1"/>
  <c r="J25" i="4" a="1"/>
  <c r="J22" i="4" a="1"/>
  <c r="I22" i="4" s="1"/>
  <c r="J19" i="4" a="1"/>
  <c r="J23" i="4" a="1"/>
  <c r="I23" i="4" s="1"/>
  <c r="J21" i="4" a="1"/>
  <c r="I21" i="4" s="1"/>
  <c r="J20" i="4" a="1"/>
  <c r="I20" i="4" s="1"/>
  <c r="J24" i="4" a="1"/>
  <c r="I24" i="4" s="1"/>
  <c r="J16" i="4" a="1"/>
  <c r="I16" i="4" s="1"/>
  <c r="J18" i="4" a="1"/>
  <c r="I18" i="4" s="1"/>
  <c r="I26" i="4"/>
  <c r="J17" i="4" a="1"/>
  <c r="I17" i="4" s="1"/>
  <c r="I25" i="4"/>
  <c r="I27" i="4"/>
  <c r="H34" i="4" l="1" a="1"/>
  <c r="H37" i="4" a="1"/>
  <c r="H36" i="4" a="1"/>
  <c r="H35" i="4" a="1"/>
  <c r="I19" i="4"/>
  <c r="H33" i="4" s="1" a="1"/>
  <c r="H38" i="4" l="1" a="1"/>
  <c r="H32" i="4" a="1"/>
  <c r="H30" i="4"/>
  <c r="H39" i="4" l="1"/>
  <c r="D33" i="4"/>
  <c r="H40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<sst xmlns="http://schemas.openxmlformats.org/spreadsheetml/2006/main" count="163" uniqueCount="136">
  <si>
    <t>Version 1.4</t>
  </si>
  <si>
    <t>Umrechnungstabelle</t>
  </si>
  <si>
    <t>CHF</t>
  </si>
  <si>
    <t>Angestellter/Employé</t>
  </si>
  <si>
    <t>EUR</t>
  </si>
  <si>
    <t>US$</t>
  </si>
  <si>
    <t>weitere Währung / autres monnaie</t>
  </si>
  <si>
    <t>Admin (für Angestellte/pour employés)</t>
  </si>
  <si>
    <t>Enschädigung &lt;&gt; CHF</t>
  </si>
  <si>
    <t>Betrag ohne Kostenart</t>
  </si>
  <si>
    <t>Entschädigung ohne Anzahl</t>
  </si>
  <si>
    <t>Anzahl bei Kostenart, die keine Anzahl erlaubt</t>
  </si>
  <si>
    <t>ohne Betrag</t>
  </si>
  <si>
    <t>keine Beschreibung</t>
  </si>
  <si>
    <t>Diverses/Divers</t>
  </si>
  <si>
    <t>Reise/Voyage</t>
  </si>
  <si>
    <t>Total Ausgaben / Dépenses CHF</t>
  </si>
  <si>
    <t>Pro Kostenart</t>
  </si>
  <si>
    <t>Recipient</t>
  </si>
  <si>
    <t>Kostenarten_DE</t>
  </si>
  <si>
    <t>Text_DE</t>
  </si>
  <si>
    <t>Text_FR</t>
  </si>
  <si>
    <t>Role_DE</t>
  </si>
  <si>
    <t>Category_DE</t>
  </si>
  <si>
    <t>Boolean_DE</t>
  </si>
  <si>
    <t>Categoriy_ID</t>
  </si>
  <si>
    <t>Recipient_DE</t>
  </si>
  <si>
    <t>Recipeint_FR</t>
  </si>
  <si>
    <t>Spesenabrechnungsformular</t>
  </si>
  <si>
    <t>Feuille de décompte</t>
  </si>
  <si>
    <t>Athlet/Athlète</t>
  </si>
  <si>
    <t>U17</t>
  </si>
  <si>
    <t>Nein/Non</t>
  </si>
  <si>
    <t>info@swiss-fencing.ch</t>
  </si>
  <si>
    <t>Unterkunft/Logement</t>
  </si>
  <si>
    <t>Name</t>
  </si>
  <si>
    <t>Nom</t>
  </si>
  <si>
    <t>Trainer/Entraîneur</t>
  </si>
  <si>
    <t>U20</t>
  </si>
  <si>
    <t>Ja/Oui</t>
  </si>
  <si>
    <t>Athlet/Athlète-U17</t>
  </si>
  <si>
    <t>Verpflegung/Ravitaillement</t>
  </si>
  <si>
    <t>Datum der Spesenabrechnung</t>
  </si>
  <si>
    <t>Date de la note de frais</t>
  </si>
  <si>
    <t>Kampfrichter/Arbitre</t>
  </si>
  <si>
    <t>U23</t>
  </si>
  <si>
    <t>Athlet/Athlète-U20</t>
  </si>
  <si>
    <t>Startgeld/Frais d'engagement</t>
  </si>
  <si>
    <t>Grund für Spesenabrechnung</t>
  </si>
  <si>
    <t>Raison de la note de frais</t>
  </si>
  <si>
    <t>Funktionär/Fonctionnaire</t>
  </si>
  <si>
    <t>Elite</t>
  </si>
  <si>
    <t>Tagessatz/Taux journalier</t>
  </si>
  <si>
    <t>Ausgaben</t>
  </si>
  <si>
    <t>Dépenses</t>
  </si>
  <si>
    <t>Medical</t>
  </si>
  <si>
    <t>Véterans</t>
  </si>
  <si>
    <t>Stundensatz/Taux horaire</t>
  </si>
  <si>
    <t>Kosten</t>
  </si>
  <si>
    <t>Coûts</t>
  </si>
  <si>
    <t>Währung</t>
  </si>
  <si>
    <t>Monnaie</t>
  </si>
  <si>
    <t>Betrag in Belegwährung</t>
  </si>
  <si>
    <t>Montant en monnaie du reçu</t>
  </si>
  <si>
    <t>in CHF</t>
  </si>
  <si>
    <t>en CHF</t>
  </si>
  <si>
    <t>Anzahl</t>
  </si>
  <si>
    <t>Nombre</t>
  </si>
  <si>
    <t>Beschreibung und Bemerkungen</t>
  </si>
  <si>
    <t>Description et remarques</t>
  </si>
  <si>
    <t>Fremdwährung</t>
  </si>
  <si>
    <t>Monnaie étrangère</t>
  </si>
  <si>
    <t>Kostenart</t>
  </si>
  <si>
    <t>Type de frais</t>
  </si>
  <si>
    <t>Table d'échange</t>
  </si>
  <si>
    <t>Subvention (gemäss Elitesportplanung)</t>
  </si>
  <si>
    <t>Subvention (selon planification sport d'élite)</t>
  </si>
  <si>
    <t>Platzierung im Wettkampf</t>
  </si>
  <si>
    <t>Classement</t>
  </si>
  <si>
    <t>Begründung der Subvention (z.B. Teammember, 1. Rang im Einzel, etc.)</t>
  </si>
  <si>
    <t>Justification de la subvention (p.ex., membre d'une équipe, 1ère place en individuel, etc.)</t>
  </si>
  <si>
    <t>Name der Bank / Post</t>
  </si>
  <si>
    <t>Nom de la banque / poste</t>
  </si>
  <si>
    <t>Name und Adresse des Kontoinhabers</t>
  </si>
  <si>
    <t>Nom et adresse du titulaire du compte</t>
  </si>
  <si>
    <t>Datum</t>
  </si>
  <si>
    <t>Date</t>
  </si>
  <si>
    <t>Eigenleistung</t>
  </si>
  <si>
    <t>Contribution personelle</t>
  </si>
  <si>
    <t>Bitte alle Belege auf den Reiter «Belege» kopieren - sonst keine Auszahlung!</t>
  </si>
  <si>
    <t>Veuillez copier tous les justificatifs dans l'onglet «Justificatifs» - sinon pas de paiement !</t>
  </si>
  <si>
    <t>Bitte das Formular an %T zurücksenden!</t>
  </si>
  <si>
    <t>Veuillez retourner le formulaire à %T !</t>
  </si>
  <si>
    <t>Diese Abrechnung ist vollständig ausgefüllt. Mit der Einreichung wird deren Korrektheit bestätigt.</t>
  </si>
  <si>
    <t>Cette déclaration est complétée dans son intégralité. Son régularité est confirmée par sa soumission.</t>
  </si>
  <si>
    <t>Sprache</t>
  </si>
  <si>
    <t>Langue</t>
  </si>
  <si>
    <t>Fehlerhaft</t>
  </si>
  <si>
    <t>Incorrect</t>
  </si>
  <si>
    <t>## Fehler ## - Bitte Kostenart eintragen!</t>
  </si>
  <si>
    <t>## Erreur ## - Remplir type de frais!</t>
  </si>
  <si>
    <t>## Fehler ## - Bitte Anzahl eintragen!</t>
  </si>
  <si>
    <t>## Erreur ## - Remplir le nombre!</t>
  </si>
  <si>
    <t>## Fehler ## - Tagessatz/Stundensatz kann ausschliesslich in CHF sein</t>
  </si>
  <si>
    <t>## Erreur ## - Taux journalier/horaire peut être uniquement en CHF</t>
  </si>
  <si>
    <t>## Fehler ## - Bei dieser Kostenart ist die Eingabe einer Anzahl nicht möglich</t>
  </si>
  <si>
    <t>## Erreur ## Ce type de frais ne permet pas de nombre</t>
  </si>
  <si>
    <t>Bemerkungen (v.a. wenn Rolle = Funktionär)</t>
  </si>
  <si>
    <t>Remarques (surtout si rôle = fonctionnaire)</t>
  </si>
  <si>
    <t>Rolle</t>
  </si>
  <si>
    <t>Rôle</t>
  </si>
  <si>
    <t>Kategorie</t>
  </si>
  <si>
    <t>Catégorie</t>
  </si>
  <si>
    <t>Hinweis: Entschädigungssatz für Kampfrichter gemäss Weisung "indemnisation des Arbitres"</t>
  </si>
  <si>
    <t>Remarque: Indemnisation des arbitres selon la directive "indemnisations des arbitres"</t>
  </si>
  <si>
    <t>Bitte dieses Formular für jeden Gebrauch neu von der Webseite www.swiss-fencing.ch herunterladen!</t>
  </si>
  <si>
    <t>Veuillez télécharger à nouveau ce formulaire sur le site www.swiss-fencing.ch pour chaque utilisation !</t>
  </si>
  <si>
    <t>Dieses Formular bitte als XLSX an %T einreichen (NICHT in PDF umwandeln)</t>
  </si>
  <si>
    <t>Veuillez soumettre ce formulaire en format XLSX à %T (NE PAS convertir en PDF)</t>
  </si>
  <si>
    <t>Arbeitsvertrag Swiss Fencing</t>
  </si>
  <si>
    <t>Contrat de travail Swiss Fencing</t>
  </si>
  <si>
    <t>Salär (nur wenn Angestellter Swiss Fencing)</t>
  </si>
  <si>
    <t>Salaire (seulement pour de employés Swiss Fencing)</t>
  </si>
  <si>
    <t>Vergütung</t>
  </si>
  <si>
    <t>Remboursement</t>
  </si>
  <si>
    <t>Total Vergütung (Spesen + Salär), CHF</t>
  </si>
  <si>
    <t>Total Remboursement (Dépensess + Salaire), CHF</t>
  </si>
  <si>
    <t>## Fehler ## Bitte Betrag eingeben</t>
  </si>
  <si>
    <t>## Erreur ## Remplir le montant</t>
  </si>
  <si>
    <t>Bitte alle Fehler beheben (dunkelrot hinterlegte Felder mit gelber Schrift)</t>
  </si>
  <si>
    <t>Veuillez corriger toutes les erreurs (champs sur fond rouge foncé avec écriture jaune)</t>
  </si>
  <si>
    <t>IBAN (nur bei Änderungen seit der letzten Spesenabrechnung)</t>
  </si>
  <si>
    <t>IBAN (uniquement en cas de modification depuis la dernière note de frais)</t>
  </si>
  <si>
    <t>Tipps zum Ausfüllen dieses Formulars können auf der Webseite eingesehen werden.</t>
  </si>
  <si>
    <t>Des conseils pour remplir ce formulaire peuvent être trouvés sur le site web.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</si>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</sst>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A8AA"/>
        <bgColor indexed="64"/>
      </patternFill>
    </fill>
    <fill>
      <patternFill patternType="solid">
        <fgColor rgb="FFDA38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9D9C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0" xfId="0" applyFill="1"/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43" fontId="0" fillId="0" borderId="1" xfId="1" applyFont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43" fontId="0" fillId="3" borderId="1" xfId="1" applyFont="1" applyFill="1" applyBorder="1" applyAlignment="1" applyProtection="1">
      <alignment horizontal="right" vertical="center"/>
      <protection locked="0"/>
    </xf>
    <xf numFmtId="43" fontId="0" fillId="6" borderId="1" xfId="1" applyFont="1" applyFill="1" applyBorder="1" applyAlignment="1" applyProtection="1">
      <alignment vertical="center"/>
      <protection locked="0"/>
    </xf>
    <xf numFmtId="43" fontId="0" fillId="3" borderId="1" xfId="1" applyFont="1" applyFill="1" applyBorder="1" applyAlignment="1" applyProtection="1">
      <alignment vertical="center"/>
      <protection locked="0"/>
    </xf>
    <xf numFmtId="43" fontId="0" fillId="7" borderId="1" xfId="1" applyFont="1" applyFill="1" applyBorder="1" applyAlignment="1" applyProtection="1">
      <alignment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3" borderId="0" xfId="0" applyFill="1" applyAlignment="1">
      <alignment wrapText="1"/>
    </xf>
    <xf numFmtId="0" fontId="3" fillId="3" borderId="7" xfId="0" applyFont="1" applyFill="1" applyBorder="1" applyAlignment="1" applyProtection="1">
      <alignment vertical="center"/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43" fontId="0" fillId="3" borderId="1" xfId="1" applyFont="1" applyFill="1" applyBorder="1" applyAlignment="1" applyProtection="1">
      <alignment horizontal="right" vertical="center"/>
    </xf>
    <xf numFmtId="43" fontId="0" fillId="7" borderId="1" xfId="1" applyFont="1" applyFill="1" applyBorder="1" applyAlignment="1" applyProtection="1">
      <alignment vertical="center"/>
    </xf>
    <xf numFmtId="43" fontId="0" fillId="3" borderId="1" xfId="1" applyFont="1" applyFill="1" applyBorder="1" applyAlignment="1" applyProtection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vertical="center"/>
    </xf>
    <xf numFmtId="43" fontId="12" fillId="4" borderId="6" xfId="1" applyFont="1" applyFill="1" applyBorder="1" applyAlignment="1">
      <alignment horizontal="right" vertical="center"/>
    </xf>
    <xf numFmtId="43" fontId="0" fillId="8" borderId="1" xfId="1" applyFont="1" applyFill="1" applyBorder="1" applyAlignment="1">
      <alignment horizontal="right" vertical="center"/>
    </xf>
    <xf numFmtId="43" fontId="5" fillId="0" borderId="1" xfId="1" applyFont="1" applyFill="1" applyBorder="1" applyAlignment="1" applyProtection="1">
      <alignment horizontal="right"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43" fontId="5" fillId="0" borderId="1" xfId="1" applyFont="1" applyBorder="1" applyAlignment="1">
      <alignment horizontal="right" vertical="center"/>
    </xf>
    <xf numFmtId="43" fontId="8" fillId="2" borderId="6" xfId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2" fontId="7" fillId="5" borderId="4" xfId="1" applyNumberFormat="1" applyFont="1" applyFill="1" applyBorder="1" applyAlignment="1">
      <alignment vertical="center"/>
    </xf>
    <xf numFmtId="0" fontId="16" fillId="4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4" borderId="1" xfId="0" applyFont="1" applyFill="1" applyBorder="1" applyAlignment="1">
      <alignment vertical="center"/>
    </xf>
    <xf numFmtId="14" fontId="0" fillId="3" borderId="7" xfId="0" applyNumberFormat="1" applyFill="1" applyBorder="1" applyAlignment="1" applyProtection="1">
      <alignment horizontal="center" vertical="center"/>
      <protection locked="0"/>
    </xf>
    <xf numFmtId="14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4" fontId="0" fillId="3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3" fontId="0" fillId="7" borderId="7" xfId="1" applyFont="1" applyFill="1" applyBorder="1" applyAlignment="1" applyProtection="1">
      <alignment vertical="center"/>
      <protection locked="0"/>
    </xf>
    <xf numFmtId="43" fontId="0" fillId="7" borderId="8" xfId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9" fontId="2" fillId="7" borderId="1" xfId="2" applyFont="1" applyFill="1" applyBorder="1" applyAlignment="1" applyProtection="1">
      <alignment horizontal="center" vertical="center"/>
      <protection locked="0"/>
    </xf>
    <xf numFmtId="164" fontId="0" fillId="3" borderId="1" xfId="1" applyNumberFormat="1" applyFont="1" applyFill="1" applyBorder="1" applyAlignment="1" applyProtection="1">
      <alignment vertical="center"/>
      <protection locked="0"/>
    </xf>
    <xf numFmtId="43" fontId="0" fillId="3" borderId="2" xfId="1" applyFont="1" applyFill="1" applyBorder="1" applyAlignment="1" applyProtection="1">
      <alignment vertical="center"/>
      <protection locked="0"/>
    </xf>
    <xf numFmtId="43" fontId="0" fillId="2" borderId="3" xfId="1" applyFont="1" applyFill="1" applyBorder="1" applyAlignment="1">
      <alignment horizontal="center" vertical="center"/>
    </xf>
    <xf numFmtId="43" fontId="0" fillId="2" borderId="4" xfId="1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3" fillId="4" borderId="18" xfId="0" applyFont="1" applyFill="1" applyBorder="1" applyAlignment="1">
      <alignment horizontal="right" vertical="top"/>
    </xf>
    <xf numFmtId="0" fontId="3" fillId="4" borderId="1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0" fontId="3" fillId="4" borderId="11" xfId="0" applyFont="1" applyFill="1" applyBorder="1" applyAlignment="1">
      <alignment horizontal="right" vertical="top"/>
    </xf>
    <xf numFmtId="0" fontId="3" fillId="4" borderId="19" xfId="0" applyFont="1" applyFill="1" applyBorder="1" applyAlignment="1">
      <alignment horizontal="right" vertical="top"/>
    </xf>
    <xf numFmtId="0" fontId="3" fillId="4" borderId="12" xfId="0" applyFont="1" applyFill="1" applyBorder="1" applyAlignment="1">
      <alignment horizontal="right" vertical="top"/>
    </xf>
    <xf numFmtId="0" fontId="15" fillId="0" borderId="18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0" fillId="3" borderId="7" xfId="0" applyFill="1" applyBorder="1" applyAlignment="1" applyProtection="1">
      <alignment vertical="center" wrapText="1"/>
      <protection locked="0"/>
    </xf>
    <xf numFmtId="0" fontId="0" fillId="3" borderId="9" xfId="0" applyFill="1" applyBorder="1" applyAlignment="1" applyProtection="1">
      <alignment vertical="center" wrapText="1"/>
      <protection locked="0"/>
    </xf>
    <xf numFmtId="0" fontId="0" fillId="3" borderId="8" xfId="0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/>
    </xf>
  </cellXfs>
  <cellStyles count="3">
    <cellStyle name="Komma" xfId="1" builtinId="3"/>
    <cellStyle name="Prozent" xfId="2" builtinId="5"/>
    <cellStyle name="Standard" xfId="0" builtinId="0"/>
  </cellStyles>
  <dxfs count="19">
    <dxf>
      <font>
        <color rgb="FF006100"/>
      </font>
      <fill>
        <patternFill>
          <bgColor rgb="FFC6EFCE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6" tint="-0.499984740745262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 val="0"/>
        <color theme="6" tint="-0.499984740745262"/>
      </font>
      <fill>
        <patternFill>
          <bgColor rgb="FFFFFD7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rgb="FFFFFF00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rgb="FFFFFF00"/>
      </font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  <color rgb="FFFFFF0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9FF9D"/>
      <color rgb="FFEEFFA0"/>
      <color rgb="FFFFFD78"/>
      <color rgb="FFF9D9C9"/>
      <color rgb="FFFCC2C3"/>
      <color rgb="FFFFA8AA"/>
      <color rgb="FFFFFC00"/>
      <color rgb="FFDA3833"/>
      <color rgb="FFD5D5D5"/>
      <color rgb="FF740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2028826</xdr:colOff>
      <xdr:row>3</xdr:row>
      <xdr:rowOff>9133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911C12-D4D3-E249-9607-FDDED3469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0"/>
          <a:ext cx="2032000" cy="742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45"/>
  <sheetViews>
    <sheetView tabSelected="1" zoomScale="70" zoomScaleNormal="70" workbookViewId="0">
      <selection activeCell="Q11" sqref="Q11"/>
    </sheetView>
  </sheetViews>
  <sheetFormatPr baseColWidth="10" defaultColWidth="10.81640625" defaultRowHeight="14.5" x14ac:dyDescent="0.35"/>
  <cols>
    <col min="1" max="1" width="55.1796875" style="5" customWidth="1"/>
    <col min="2" max="2" width="12.54296875" style="5" customWidth="1"/>
    <col min="3" max="3" width="12.81640625" style="5" customWidth="1"/>
    <col min="4" max="4" width="22.54296875" style="5" customWidth="1"/>
    <col min="5" max="5" width="10.81640625" style="5" customWidth="1"/>
    <col min="6" max="6" width="1" style="5" customWidth="1"/>
    <col min="7" max="7" width="27.453125" style="5" customWidth="1"/>
    <col min="8" max="8" width="24.453125" style="5" customWidth="1"/>
    <col min="9" max="9" width="14.54296875" style="5" customWidth="1"/>
    <col min="10" max="16" width="14.54296875" style="5" hidden="1" customWidth="1"/>
    <col min="17" max="16384" width="10.81640625" style="5"/>
  </cols>
  <sheetData>
    <row r="1" spans="1:18" ht="26" x14ac:dyDescent="0.35">
      <c r="D1" s="64" t="str">
        <f ca="1">OFFSET(Text_DE,0,IF(Language="DE",0,1),1,1)</f>
        <v>Spesenabrechnungsformular</v>
      </c>
      <c r="E1" s="64"/>
      <c r="F1" s="64"/>
      <c r="G1" s="64"/>
      <c r="H1" s="64"/>
      <c r="I1" s="16" t="s">
        <v>0</v>
      </c>
    </row>
    <row r="2" spans="1:18" ht="15.5" x14ac:dyDescent="0.35">
      <c r="D2" s="39"/>
      <c r="E2" s="39"/>
      <c r="F2" s="39"/>
      <c r="G2" s="39"/>
      <c r="H2" s="39"/>
    </row>
    <row r="3" spans="1:18" ht="15.5" x14ac:dyDescent="0.35">
      <c r="D3" s="39" t="str">
        <f ca="1">OFFSET(Text_DE,43,IF(Language="DE",0,1),1,1)</f>
        <v>Tipps zum Ausfüllen dieses Formulars können auf der Webseite eingesehen werden.</v>
      </c>
      <c r="E3" s="39"/>
      <c r="F3" s="39"/>
      <c r="G3" s="39"/>
      <c r="H3" s="39"/>
    </row>
    <row r="4" spans="1:18" ht="15.5" x14ac:dyDescent="0.35">
      <c r="D4" s="63" t="str">
        <f ca="1">LEFT(OFFSET(Text_DE,35,IF(Language="DE",0,1),1,1),FIND("%T",OFFSET(Text_DE,35,IF(Language="DE",0,1),1,1))-1)&amp;VLOOKUP(Role&amp;IF(Role=Masterdata!E4,IF(OR(D11=Masterdata!F4,D11=Masterdata!F5),"-"&amp;D11,""),""),Recipient_DE,IF(Language="DE",2,3),FALSE)&amp;RIGHT(OFFSET(Text_DE,35,IF(Language="DE",0,1),1,1),LEN(OFFSET(Text_DE,35,IF(Language="DE",0,1),1,1))-FIND("%T",OFFSET(Text_DE,35,IF(Language="DE",0,1),1,1))-1)</f>
        <v>Dieses Formular bitte als XLSX an info@swiss-fencing.ch einreichen (NICHT in PDF umwandeln)</v>
      </c>
      <c r="E4" s="63"/>
      <c r="F4" s="63"/>
      <c r="G4" s="63"/>
      <c r="H4" s="63"/>
      <c r="Q4" s="7" t="str">
        <f ca="1">OFFSET(Text_DE,24,IF(Language="DE",0,1),1,1)</f>
        <v>Sprache</v>
      </c>
      <c r="R4" s="12" t="s">
        <v>135</v>
      </c>
    </row>
    <row r="5" spans="1:18" ht="5.15" customHeight="1" x14ac:dyDescent="0.35"/>
    <row r="6" spans="1:18" ht="25" customHeight="1" x14ac:dyDescent="0.35">
      <c r="A6" s="65" t="str">
        <f ca="1">OFFSET(Text_DE,1,IF(Language="DE",0,1),1,1)</f>
        <v>Name</v>
      </c>
      <c r="B6" s="66"/>
      <c r="C6" s="67"/>
      <c r="D6" s="45"/>
      <c r="E6" s="45"/>
      <c r="G6" s="4" t="s">
        <v>1</v>
      </c>
      <c r="H6" s="6" t="str">
        <f ca="1">OFFSET(Text_DE,11,IF(Language="DE",0,1),1,1)</f>
        <v>Fremdwährung</v>
      </c>
      <c r="I6" s="4" t="s">
        <v>2</v>
      </c>
    </row>
    <row r="7" spans="1:18" ht="2.15" hidden="1" customHeight="1" x14ac:dyDescent="0.35">
      <c r="A7" s="4"/>
      <c r="B7" s="26"/>
      <c r="C7" s="26"/>
      <c r="D7" s="18"/>
      <c r="E7" s="19"/>
      <c r="G7" s="20" t="s">
        <v>2</v>
      </c>
      <c r="H7" s="21">
        <v>1</v>
      </c>
      <c r="I7" s="22">
        <v>1</v>
      </c>
    </row>
    <row r="8" spans="1:18" ht="19.5" customHeight="1" x14ac:dyDescent="0.35">
      <c r="A8" s="71"/>
      <c r="B8" s="72"/>
      <c r="C8" s="28" t="str">
        <f ca="1">OFFSET(Text_DE,31,IF(Language="DE",0,1),1,1)</f>
        <v>Rolle</v>
      </c>
      <c r="D8" s="49" t="s">
        <v>30</v>
      </c>
      <c r="E8" s="50"/>
      <c r="G8" s="11" t="s">
        <v>4</v>
      </c>
      <c r="H8" s="14">
        <v>1</v>
      </c>
      <c r="I8" s="13">
        <v>0.96</v>
      </c>
    </row>
    <row r="9" spans="1:18" ht="19.5" customHeight="1" x14ac:dyDescent="0.35">
      <c r="A9" s="68" t="str">
        <f ca="1">OFFSET(Text_DE,2,IF(Language="DE",0,1),1,1)</f>
        <v>Datum der Spesenabrechnung</v>
      </c>
      <c r="B9" s="69"/>
      <c r="C9" s="70"/>
      <c r="D9" s="46"/>
      <c r="E9" s="47"/>
      <c r="G9" s="11" t="s">
        <v>5</v>
      </c>
      <c r="H9" s="14">
        <v>1</v>
      </c>
      <c r="I9" s="13">
        <v>0.93</v>
      </c>
    </row>
    <row r="10" spans="1:18" ht="19.5" customHeight="1" x14ac:dyDescent="0.35">
      <c r="A10" s="68" t="str">
        <f ca="1">OFFSET(Text_DE,3,IF(Language="DE",0,1),1,1)</f>
        <v>Grund für Spesenabrechnung</v>
      </c>
      <c r="B10" s="69"/>
      <c r="C10" s="70"/>
      <c r="D10" s="43"/>
      <c r="E10" s="44"/>
      <c r="G10" s="11" t="s">
        <v>6</v>
      </c>
      <c r="H10" s="14">
        <v>1</v>
      </c>
      <c r="I10" s="13">
        <v>1</v>
      </c>
    </row>
    <row r="11" spans="1:18" ht="19.5" customHeight="1" x14ac:dyDescent="0.35">
      <c r="A11" s="68" t="str">
        <f ca="1">OFFSET(Text_DE,32,IF(Language="DE",0,1),1,1)</f>
        <v>Kategorie</v>
      </c>
      <c r="B11" s="69"/>
      <c r="C11" s="70"/>
      <c r="D11" s="49" t="s">
        <v>7</v>
      </c>
      <c r="E11" s="50"/>
      <c r="G11" s="11" t="s">
        <v>6</v>
      </c>
      <c r="H11" s="14">
        <v>1</v>
      </c>
      <c r="I11" s="13">
        <v>1</v>
      </c>
    </row>
    <row r="12" spans="1:18" ht="18.5" x14ac:dyDescent="0.35">
      <c r="A12" s="68" t="str">
        <f ca="1">OFFSET(Text_DE,30,IF(Language="DE",0,1),1,1)</f>
        <v>Bemerkungen (v.a. wenn Rolle = Funktionär)</v>
      </c>
      <c r="B12" s="69"/>
      <c r="C12" s="70"/>
      <c r="D12" s="48"/>
      <c r="E12" s="48"/>
      <c r="G12" s="11" t="s">
        <v>6</v>
      </c>
      <c r="H12" s="14">
        <v>1</v>
      </c>
      <c r="I12" s="13">
        <v>1</v>
      </c>
    </row>
    <row r="13" spans="1:18" ht="19" customHeight="1" x14ac:dyDescent="0.35"/>
    <row r="14" spans="1:18" ht="18.5" x14ac:dyDescent="0.35">
      <c r="A14" s="9" t="str">
        <f ca="1">OFFSET(Text_DE,4,IF(Language="DE",0,1),1,1)</f>
        <v>Ausgaben</v>
      </c>
      <c r="B14" s="27"/>
      <c r="C14" s="27"/>
      <c r="D14" s="23"/>
      <c r="E14" s="24"/>
      <c r="G14" s="57"/>
      <c r="H14" s="57"/>
      <c r="I14" s="58"/>
    </row>
    <row r="15" spans="1:18" ht="20.149999999999999" customHeight="1" x14ac:dyDescent="0.35">
      <c r="A15" s="73" t="str">
        <f ca="1">OFFSET(Text_DE,10,IF(Language="DE",0,1),1,1)</f>
        <v>Beschreibung und Bemerkungen</v>
      </c>
      <c r="B15" s="74"/>
      <c r="C15" s="75"/>
      <c r="D15" s="38" t="str">
        <f ca="1">OFFSET(Text_DE,12,IF(Language="DE",0,1),1,1)</f>
        <v>Kostenart</v>
      </c>
      <c r="E15" s="38" t="str">
        <f ca="1">OFFSET(Text_DE,6,IF(Language="DE",0,1),1,1)</f>
        <v>Währung</v>
      </c>
      <c r="F15" s="39"/>
      <c r="G15" s="40" t="str">
        <f ca="1">OFFSET(Text_DE,9,IF(Language="DE",0,1),1,1)</f>
        <v>Anzahl</v>
      </c>
      <c r="H15" s="40" t="str">
        <f ca="1">OFFSET(Text_DE,7,IF(Language="DE",0,1),1,1)</f>
        <v>Betrag in Belegwährung</v>
      </c>
      <c r="I15" s="40" t="str">
        <f ca="1">OFFSET(Text_DE,8,IF(Language="DE",0,1),1,1)</f>
        <v>in CHF</v>
      </c>
      <c r="K15" s="5" t="s">
        <v>8</v>
      </c>
      <c r="L15" s="5" t="s">
        <v>9</v>
      </c>
      <c r="M15" s="5" t="s">
        <v>10</v>
      </c>
      <c r="N15" s="5" t="s">
        <v>11</v>
      </c>
      <c r="O15" s="5" t="s">
        <v>12</v>
      </c>
      <c r="P15" s="5" t="s">
        <v>13</v>
      </c>
    </row>
    <row r="16" spans="1:18" ht="17.149999999999999" customHeight="1" x14ac:dyDescent="0.35">
      <c r="A16" s="92"/>
      <c r="B16" s="93"/>
      <c r="C16" s="94"/>
      <c r="D16" s="15"/>
      <c r="E16" s="15"/>
      <c r="G16" s="32"/>
      <c r="H16" s="33"/>
      <c r="I16" s="34">
        <f>IF(J16,NA(),IF(E16&lt;&gt;"",H16*VLOOKUP(E16,ForeignCurrency,3,FALSE)/VLOOKUP(E16,ForeignCurrency,2,FALSE),H16)*IF(OR(D16=Masterdata!$B$8,D16=Masterdata!$B$9),G16,1))</f>
        <v>0</v>
      </c>
      <c r="J16" s="5" cm="1">
        <f t="array" ref="J16">SUMPRODUCT((K16:P16=TRUE)*1)</f>
        <v>0</v>
      </c>
      <c r="K16" s="5" t="b">
        <f>AND(OR(D16=Masterdata!$B$8,D16=Masterdata!$B$9),E16&lt;&gt;"CHF",E16&lt;&gt;"")</f>
        <v>0</v>
      </c>
      <c r="L16" s="5" t="b">
        <f t="shared" ref="L16:L25" si="0">AND($D16="",$H16&lt;&gt;"")</f>
        <v>0</v>
      </c>
      <c r="M16" s="5" t="b">
        <f>AND(OR($D16=Masterdata!$B$8,$D16=Masterdata!$B$9),OR($G16="",$G16=0))</f>
        <v>0</v>
      </c>
      <c r="N16" s="5" t="b">
        <f>AND($D16&lt;&gt;Masterdata!$B$8,$D16&lt;&gt;Masterdata!$B$9,$G16&lt;&gt;0,$G16&lt;&gt;"")</f>
        <v>0</v>
      </c>
      <c r="O16" s="5" t="b">
        <f t="shared" ref="O16:O25" si="1">AND($D16&lt;&gt;"",$H16=0)</f>
        <v>0</v>
      </c>
      <c r="P16" s="5" t="b">
        <f t="shared" ref="P16:P25" si="2">AND(H16&lt;&gt;"",OR(A16="",A16="&lt;Text bitte ersetzen / prière de remplacer&gt;"))</f>
        <v>0</v>
      </c>
    </row>
    <row r="17" spans="1:16" ht="17.149999999999999" customHeight="1" x14ac:dyDescent="0.35">
      <c r="A17" s="92"/>
      <c r="B17" s="93"/>
      <c r="C17" s="94"/>
      <c r="D17" s="15"/>
      <c r="E17" s="15"/>
      <c r="G17" s="32"/>
      <c r="H17" s="33"/>
      <c r="I17" s="34">
        <f>IF(J17,NA(),IF(E17&lt;&gt;"",H17*VLOOKUP(E17,ForeignCurrency,3,FALSE)/VLOOKUP(E17,ForeignCurrency,2,FALSE),H17)*IF(OR(D17=Masterdata!$B$8,D17=Masterdata!$B$9),G17,1))</f>
        <v>0</v>
      </c>
      <c r="J17" s="5" cm="1">
        <f t="array" ref="J17">SUMPRODUCT((K17:P17=TRUE)*1)</f>
        <v>0</v>
      </c>
      <c r="K17" s="5" t="b">
        <f>AND(OR(D17=Masterdata!$B$8,D17=Masterdata!$B$9),E17&lt;&gt;"CHF",E17&lt;&gt;"")</f>
        <v>0</v>
      </c>
      <c r="L17" s="5" t="b">
        <f>AND($D17="",$H17&lt;&gt;"")</f>
        <v>0</v>
      </c>
      <c r="M17" s="5" t="b">
        <f>AND(OR($D17=Masterdata!$B$8,$D17=Masterdata!$B$9),OR($G17="",$G17=0))</f>
        <v>0</v>
      </c>
      <c r="N17" s="5" t="b">
        <f>AND($D17&lt;&gt;Masterdata!$B$8,$D17&lt;&gt;Masterdata!$B$9,$G17&lt;&gt;0,$G17&lt;&gt;"")</f>
        <v>0</v>
      </c>
      <c r="O17" s="5" t="b">
        <f>AND($D17&lt;&gt;"",$H17=0)</f>
        <v>0</v>
      </c>
      <c r="P17" s="5" t="b">
        <f>AND(H17&lt;&gt;"",OR(A17="",A17="&lt;Text bitte ersetzen / prière de remplacer&gt;"))</f>
        <v>0</v>
      </c>
    </row>
    <row r="18" spans="1:16" ht="17.149999999999999" customHeight="1" x14ac:dyDescent="0.35">
      <c r="A18" s="92"/>
      <c r="B18" s="93"/>
      <c r="C18" s="94"/>
      <c r="D18" s="15"/>
      <c r="E18" s="15"/>
      <c r="G18" s="32"/>
      <c r="H18" s="33"/>
      <c r="I18" s="34">
        <f>IF(J18,NA(),IF(E18&lt;&gt;"",H18*VLOOKUP(E18,ForeignCurrency,3,FALSE)/VLOOKUP(E18,ForeignCurrency,2,FALSE),H18)*IF(OR(D18=Masterdata!$B$8,D18=Masterdata!$B$9),G18,1))</f>
        <v>0</v>
      </c>
      <c r="J18" s="5" cm="1">
        <f t="array" ref="J18">SUMPRODUCT((K18:P18=TRUE)*1)</f>
        <v>0</v>
      </c>
      <c r="K18" s="5" t="b">
        <f>AND(OR(D18=Masterdata!$B$8,D18=Masterdata!$B$9),E18&lt;&gt;"CHF",E18&lt;&gt;"")</f>
        <v>0</v>
      </c>
      <c r="L18" s="5" t="b">
        <f>AND($D18="",$H18&lt;&gt;"")</f>
        <v>0</v>
      </c>
      <c r="M18" s="5" t="b">
        <f>AND(OR($D18=Masterdata!$B$8,$D18=Masterdata!$B$9),OR($G18="",$G18=0))</f>
        <v>0</v>
      </c>
      <c r="N18" s="5" t="b">
        <f>AND($D18&lt;&gt;Masterdata!$B$8,$D18&lt;&gt;Masterdata!$B$9,$G18&lt;&gt;0,$G18&lt;&gt;"")</f>
        <v>0</v>
      </c>
      <c r="O18" s="5" t="b">
        <f>AND($D18&lt;&gt;"",$H18=0)</f>
        <v>0</v>
      </c>
      <c r="P18" s="5" t="b">
        <f>AND(H18&lt;&gt;"",OR(A18="",A18="&lt;Text bitte ersetzen / prière de remplacer&gt;"))</f>
        <v>0</v>
      </c>
    </row>
    <row r="19" spans="1:16" ht="17.149999999999999" customHeight="1" x14ac:dyDescent="0.35">
      <c r="A19" s="92"/>
      <c r="B19" s="93"/>
      <c r="C19" s="94"/>
      <c r="D19" s="15"/>
      <c r="E19" s="15"/>
      <c r="G19" s="32"/>
      <c r="H19" s="33"/>
      <c r="I19" s="34">
        <f>IF(J19,NA(),IF(E19&lt;&gt;"",H19*VLOOKUP(E19,ForeignCurrency,3,FALSE)/VLOOKUP(E19,ForeignCurrency,2,FALSE),H19)*IF(OR(D19=Masterdata!$B$8,D19=Masterdata!$B$9),G19,1))</f>
        <v>0</v>
      </c>
      <c r="J19" s="5" cm="1">
        <f t="array" ref="J19">SUMPRODUCT((K19:P19=TRUE)*1)</f>
        <v>0</v>
      </c>
      <c r="K19" s="5" t="b">
        <f>AND(OR(D19=Masterdata!$B$8,D19=Masterdata!$B$9),E19&lt;&gt;"CHF",E19&lt;&gt;"")</f>
        <v>0</v>
      </c>
      <c r="L19" s="5" t="b">
        <f t="shared" si="0"/>
        <v>0</v>
      </c>
      <c r="M19" s="5" t="b">
        <f>AND(OR($D19=Masterdata!$B$8,$D19=Masterdata!$B$9),OR($G19="",$G19=0))</f>
        <v>0</v>
      </c>
      <c r="N19" s="5" t="b">
        <f>AND($D19&lt;&gt;Masterdata!$B$8,$D19&lt;&gt;Masterdata!$B$9,$G19&lt;&gt;0,$G19&lt;&gt;"")</f>
        <v>0</v>
      </c>
      <c r="O19" s="5" t="b">
        <f t="shared" si="1"/>
        <v>0</v>
      </c>
      <c r="P19" s="5" t="b">
        <f t="shared" si="2"/>
        <v>0</v>
      </c>
    </row>
    <row r="20" spans="1:16" ht="17.149999999999999" customHeight="1" x14ac:dyDescent="0.35">
      <c r="A20" s="92"/>
      <c r="B20" s="93"/>
      <c r="C20" s="94"/>
      <c r="D20" s="15"/>
      <c r="E20" s="15"/>
      <c r="G20" s="32"/>
      <c r="H20" s="33"/>
      <c r="I20" s="34">
        <f>IF(J20,NA(),IF(E20&lt;&gt;"",H20*VLOOKUP(E20,ForeignCurrency,3,FALSE)/VLOOKUP(E20,ForeignCurrency,2,FALSE),H20)*IF(OR(D20=Masterdata!$B$8,D20=Masterdata!$B$9),G20,1))</f>
        <v>0</v>
      </c>
      <c r="J20" s="5" cm="1">
        <f t="array" ref="J20">SUMPRODUCT((K20:P20=TRUE)*1)</f>
        <v>0</v>
      </c>
      <c r="K20" s="5" t="b">
        <f>AND(OR(D20=Masterdata!$B$8,D20=Masterdata!$B$9),E20&lt;&gt;"CHF",E20&lt;&gt;"")</f>
        <v>0</v>
      </c>
      <c r="L20" s="5" t="b">
        <f t="shared" si="0"/>
        <v>0</v>
      </c>
      <c r="M20" s="5" t="b">
        <f>AND(OR($D20=Masterdata!$B$8,$D20=Masterdata!$B$9),OR($G20="",$G20=0))</f>
        <v>0</v>
      </c>
      <c r="N20" s="5" t="b">
        <f>AND($D20&lt;&gt;Masterdata!$B$8,$D20&lt;&gt;Masterdata!$B$9,$G20&lt;&gt;0,$G20&lt;&gt;"")</f>
        <v>0</v>
      </c>
      <c r="O20" s="5" t="b">
        <f t="shared" si="1"/>
        <v>0</v>
      </c>
      <c r="P20" s="5" t="b">
        <f t="shared" si="2"/>
        <v>0</v>
      </c>
    </row>
    <row r="21" spans="1:16" ht="17.149999999999999" customHeight="1" x14ac:dyDescent="0.35">
      <c r="A21" s="92"/>
      <c r="B21" s="93"/>
      <c r="C21" s="94"/>
      <c r="D21" s="15"/>
      <c r="E21" s="15"/>
      <c r="G21" s="32"/>
      <c r="H21" s="33"/>
      <c r="I21" s="34">
        <f>IF(J21,NA(),IF(E21&lt;&gt;"",H21*VLOOKUP(E21,ForeignCurrency,3,FALSE)/VLOOKUP(E21,ForeignCurrency,2,FALSE),H21)*IF(OR(D21=Masterdata!$B$8,D21=Masterdata!$B$9),G21,1))</f>
        <v>0</v>
      </c>
      <c r="J21" s="5" cm="1">
        <f t="array" ref="J21">SUMPRODUCT((K21:P21=TRUE)*1)</f>
        <v>0</v>
      </c>
      <c r="K21" s="5" t="b">
        <f>AND(OR(D21=Masterdata!$B$8,D21=Masterdata!$B$9),E21&lt;&gt;"CHF",E21&lt;&gt;"")</f>
        <v>0</v>
      </c>
      <c r="L21" s="5" t="b">
        <f t="shared" si="0"/>
        <v>0</v>
      </c>
      <c r="M21" s="5" t="b">
        <f>AND(OR($D21=Masterdata!$B$8,$D21=Masterdata!$B$9),OR($G21="",$G21=0))</f>
        <v>0</v>
      </c>
      <c r="N21" s="5" t="b">
        <f>AND($D21&lt;&gt;Masterdata!$B$8,$D21&lt;&gt;Masterdata!$B$9,$G21&lt;&gt;0,$G21&lt;&gt;"")</f>
        <v>0</v>
      </c>
      <c r="O21" s="5" t="b">
        <f t="shared" si="1"/>
        <v>0</v>
      </c>
      <c r="P21" s="5" t="b">
        <f t="shared" si="2"/>
        <v>0</v>
      </c>
    </row>
    <row r="22" spans="1:16" ht="17.149999999999999" customHeight="1" x14ac:dyDescent="0.35">
      <c r="A22" s="92"/>
      <c r="B22" s="93"/>
      <c r="C22" s="94"/>
      <c r="D22" s="15"/>
      <c r="E22" s="15"/>
      <c r="G22" s="32"/>
      <c r="H22" s="33"/>
      <c r="I22" s="34">
        <f>IF(J22,NA(),IF(E22&lt;&gt;"",H22*VLOOKUP(E22,ForeignCurrency,3,FALSE)/VLOOKUP(E22,ForeignCurrency,2,FALSE),H22)*IF(OR(D22=Masterdata!$B$8,D22=Masterdata!$B$9),G22,1))</f>
        <v>0</v>
      </c>
      <c r="J22" s="5" cm="1">
        <f t="array" ref="J22">SUMPRODUCT((K22:P22=TRUE)*1)</f>
        <v>0</v>
      </c>
      <c r="K22" s="5" t="b">
        <f>AND(OR(D22=Masterdata!$B$8,D22=Masterdata!$B$9),E22&lt;&gt;"CHF",E22&lt;&gt;"")</f>
        <v>0</v>
      </c>
      <c r="L22" s="5" t="b">
        <f t="shared" si="0"/>
        <v>0</v>
      </c>
      <c r="M22" s="5" t="b">
        <f>AND(OR($D22=Masterdata!$B$8,$D22=Masterdata!$B$9),OR($G22="",$G22=0))</f>
        <v>0</v>
      </c>
      <c r="N22" s="5" t="b">
        <f>AND($D22&lt;&gt;Masterdata!$B$8,$D22&lt;&gt;Masterdata!$B$9,$G22&lt;&gt;0,$G22&lt;&gt;"")</f>
        <v>0</v>
      </c>
      <c r="O22" s="5" t="b">
        <f t="shared" si="1"/>
        <v>0</v>
      </c>
      <c r="P22" s="5" t="b">
        <f t="shared" si="2"/>
        <v>0</v>
      </c>
    </row>
    <row r="23" spans="1:16" ht="17.149999999999999" customHeight="1" x14ac:dyDescent="0.35">
      <c r="A23" s="92"/>
      <c r="B23" s="93"/>
      <c r="C23" s="94"/>
      <c r="D23" s="15"/>
      <c r="E23" s="15"/>
      <c r="G23" s="32"/>
      <c r="H23" s="33"/>
      <c r="I23" s="34">
        <f>IF(J23,NA(),IF(E23&lt;&gt;"",H23*VLOOKUP(E23,ForeignCurrency,3,FALSE)/VLOOKUP(E23,ForeignCurrency,2,FALSE),H23)*IF(OR(D23=Masterdata!$B$8,D23=Masterdata!$B$9),G23,1))</f>
        <v>0</v>
      </c>
      <c r="J23" s="5" cm="1">
        <f t="array" ref="J23">SUMPRODUCT((K23:P23=TRUE)*1)</f>
        <v>0</v>
      </c>
      <c r="K23" s="5" t="b">
        <f>AND(OR(D23=Masterdata!$B$8,D23=Masterdata!$B$9),E23&lt;&gt;"CHF",E23&lt;&gt;"")</f>
        <v>0</v>
      </c>
      <c r="L23" s="5" t="b">
        <f t="shared" si="0"/>
        <v>0</v>
      </c>
      <c r="M23" s="5" t="b">
        <f>AND(OR($D23=Masterdata!$B$8,$D23=Masterdata!$B$9),OR($G23="",$G23=0))</f>
        <v>0</v>
      </c>
      <c r="N23" s="5" t="b">
        <f>AND($D23&lt;&gt;Masterdata!$B$8,$D23&lt;&gt;Masterdata!$B$9,$G23&lt;&gt;0,$G23&lt;&gt;"")</f>
        <v>0</v>
      </c>
      <c r="O23" s="5" t="b">
        <f t="shared" si="1"/>
        <v>0</v>
      </c>
      <c r="P23" s="5" t="b">
        <f t="shared" si="2"/>
        <v>0</v>
      </c>
    </row>
    <row r="24" spans="1:16" ht="17.149999999999999" customHeight="1" x14ac:dyDescent="0.35">
      <c r="A24" s="92"/>
      <c r="B24" s="93"/>
      <c r="C24" s="94"/>
      <c r="D24" s="15"/>
      <c r="E24" s="15"/>
      <c r="G24" s="32"/>
      <c r="H24" s="33"/>
      <c r="I24" s="34">
        <f>IF(J24,NA(),IF(E24&lt;&gt;"",H24*VLOOKUP(E24,ForeignCurrency,3,FALSE)/VLOOKUP(E24,ForeignCurrency,2,FALSE),H24)*IF(OR(D24=Masterdata!$B$8,D24=Masterdata!$B$9),G24,1))</f>
        <v>0</v>
      </c>
      <c r="J24" s="5" cm="1">
        <f t="array" ref="J24">SUMPRODUCT((K24:P24=TRUE)*1)</f>
        <v>0</v>
      </c>
      <c r="K24" s="5" t="b">
        <f>AND(OR(D24=Masterdata!$B$8,D24=Masterdata!$B$9),E24&lt;&gt;"CHF",E24&lt;&gt;"")</f>
        <v>0</v>
      </c>
      <c r="L24" s="5" t="b">
        <f t="shared" si="0"/>
        <v>0</v>
      </c>
      <c r="M24" s="5" t="b">
        <f>AND(OR($D24=Masterdata!$B$8,$D24=Masterdata!$B$9),OR($G24="",$G24=0))</f>
        <v>0</v>
      </c>
      <c r="N24" s="5" t="b">
        <f>AND($D24&lt;&gt;Masterdata!$B$8,$D24&lt;&gt;Masterdata!$B$9,$G24&lt;&gt;0,$G24&lt;&gt;"")</f>
        <v>0</v>
      </c>
      <c r="O24" s="5" t="b">
        <f t="shared" si="1"/>
        <v>0</v>
      </c>
      <c r="P24" s="5" t="b">
        <f t="shared" si="2"/>
        <v>0</v>
      </c>
    </row>
    <row r="25" spans="1:16" ht="17.149999999999999" customHeight="1" x14ac:dyDescent="0.35">
      <c r="A25" s="92"/>
      <c r="B25" s="93"/>
      <c r="C25" s="94"/>
      <c r="D25" s="15"/>
      <c r="E25" s="15"/>
      <c r="G25" s="32"/>
      <c r="H25" s="33"/>
      <c r="I25" s="34">
        <f>IF(J25,NA(),IF(E25&lt;&gt;"",H25*VLOOKUP(E25,ForeignCurrency,3,FALSE)/VLOOKUP(E25,ForeignCurrency,2,FALSE),H25)*IF(OR(D25=Masterdata!$B$8,D25=Masterdata!$B$9),G25,1))</f>
        <v>0</v>
      </c>
      <c r="J25" s="5" cm="1">
        <f t="array" ref="J25">SUMPRODUCT((K25:P25=TRUE)*1)</f>
        <v>0</v>
      </c>
      <c r="K25" s="5" t="b">
        <f>AND(OR(D25=Masterdata!$B$8,D25=Masterdata!$B$9),E25&lt;&gt;"CHF",E25&lt;&gt;"")</f>
        <v>0</v>
      </c>
      <c r="L25" s="5" t="b">
        <f t="shared" si="0"/>
        <v>0</v>
      </c>
      <c r="M25" s="5" t="b">
        <f>AND(OR($D25=Masterdata!$B$8,$D25=Masterdata!$B$9),OR($G25="",$G25=0))</f>
        <v>0</v>
      </c>
      <c r="N25" s="5" t="b">
        <f>AND($D25&lt;&gt;Masterdata!$B$8,$D25&lt;&gt;Masterdata!$B$9,$G25&lt;&gt;0,$G25&lt;&gt;"")</f>
        <v>0</v>
      </c>
      <c r="O25" s="5" t="b">
        <f t="shared" si="1"/>
        <v>0</v>
      </c>
      <c r="P25" s="5" t="b">
        <f t="shared" si="2"/>
        <v>0</v>
      </c>
    </row>
    <row r="26" spans="1:16" ht="17.149999999999999" customHeight="1" x14ac:dyDescent="0.35">
      <c r="A26" s="92"/>
      <c r="B26" s="93"/>
      <c r="C26" s="94"/>
      <c r="D26" s="15"/>
      <c r="E26" s="15"/>
      <c r="G26" s="32"/>
      <c r="H26" s="33"/>
      <c r="I26" s="34">
        <f>IF(J26,NA(),IF(E26&lt;&gt;"",H26*VLOOKUP(E26,ForeignCurrency,3,FALSE)/VLOOKUP(E26,ForeignCurrency,2,FALSE),H26)*IF(OR(D26=Masterdata!$B$8,D26=Masterdata!$B$9),G26,1))</f>
        <v>0</v>
      </c>
      <c r="J26" s="5" cm="1">
        <f t="array" ref="J26">SUMPRODUCT((K26:P26=TRUE)*1)</f>
        <v>0</v>
      </c>
      <c r="K26" s="5" t="b">
        <f>AND(OR(D26=Masterdata!$B$8,D26=Masterdata!$B$9),E26&lt;&gt;"CHF",E26&lt;&gt;"")</f>
        <v>0</v>
      </c>
      <c r="L26" s="5" t="b">
        <f t="shared" ref="L26:L27" si="3">AND($D26="",$H26&lt;&gt;"")</f>
        <v>0</v>
      </c>
      <c r="M26" s="5" t="b">
        <f>AND(OR($D26=Masterdata!$B$8,$D26=Masterdata!$B$9),OR($G26="",$G26=0))</f>
        <v>0</v>
      </c>
      <c r="N26" s="5" t="b">
        <f>AND($D26&lt;&gt;Masterdata!$B$8,$D26&lt;&gt;Masterdata!$B$9,$G26&lt;&gt;0,$G26&lt;&gt;"")</f>
        <v>0</v>
      </c>
      <c r="O26" s="5" t="b">
        <f t="shared" ref="O26:O27" si="4">AND($D26&lt;&gt;"",$H26=0)</f>
        <v>0</v>
      </c>
      <c r="P26" s="5" t="b">
        <f t="shared" ref="P26:P27" si="5">AND(H26&lt;&gt;"",OR(A26="",A26="&lt;Text bitte ersetzen / prière de remplacer&gt;"))</f>
        <v>0</v>
      </c>
    </row>
    <row r="27" spans="1:16" ht="17.149999999999999" customHeight="1" x14ac:dyDescent="0.35">
      <c r="A27" s="92"/>
      <c r="B27" s="93"/>
      <c r="C27" s="94"/>
      <c r="D27" s="15"/>
      <c r="E27" s="15"/>
      <c r="G27" s="32"/>
      <c r="H27" s="33"/>
      <c r="I27" s="34">
        <f>IF(J27,NA(),IF(E27&lt;&gt;"",H27*VLOOKUP(E27,ForeignCurrency,3,FALSE)/VLOOKUP(E27,ForeignCurrency,2,FALSE),H27)*IF(OR(D27=Masterdata!$B$8,D27=Masterdata!$B$9),G27,1))</f>
        <v>0</v>
      </c>
      <c r="J27" s="5" cm="1">
        <f t="array" ref="J27">SUMPRODUCT((K27:P27=TRUE)*1)</f>
        <v>0</v>
      </c>
      <c r="K27" s="5" t="b">
        <f>AND(OR(D27=Masterdata!$B$8,D27=Masterdata!$B$9),E27&lt;&gt;"CHF",E27&lt;&gt;"")</f>
        <v>0</v>
      </c>
      <c r="L27" s="5" t="b">
        <f t="shared" si="3"/>
        <v>0</v>
      </c>
      <c r="M27" s="5" t="b">
        <f>AND(OR($D27=Masterdata!$B$8,$D27=Masterdata!$B$9),OR($G27="",$G27=0))</f>
        <v>0</v>
      </c>
      <c r="N27" s="5" t="b">
        <f>AND($D27&lt;&gt;Masterdata!$B$8,$D27&lt;&gt;Masterdata!$B$9,$G27&lt;&gt;0,$G27&lt;&gt;"")</f>
        <v>0</v>
      </c>
      <c r="O27" s="5" t="b">
        <f t="shared" si="4"/>
        <v>0</v>
      </c>
      <c r="P27" s="5" t="b">
        <f t="shared" si="5"/>
        <v>0</v>
      </c>
    </row>
    <row r="28" spans="1:16" ht="28" customHeight="1" x14ac:dyDescent="0.35">
      <c r="A28" s="51" t="str" cm="1">
        <f t="array" aca="1" ref="A28" ca="1">IF(SUMPRODUCT((L16:L27)*1),
  OFFSET(Text_DE,26,IF(Language="DE",0,1),1,1),
  IF(SUMPRODUCT((M16:M27)*1),
    OFFSET(Text_DE,27,IF(Language="DE",0,1),1,1),
    IF(SUMPRODUCT((K16:K27)*1),
      OFFSET(Text_DE,28,IF(Language="DE",0,1),1,1),
      IF(SUMPRODUCT((N16:N27)*1),
        OFFSET(Text_DE,29,IF(Language="DE",0,1),1,1),
         IF(SUMPRODUCT((O16:O27)*1),
          OFFSET(Text_DE,40,IF(Language="DE",0,1),1,1),
          IF(SUMPRODUCT((Role=Masterdata!$E$6)*(CostType=Masterdata!$B$8)*1),
            OFFSET(Text_DE,33,IF(Language="DE",0,1),1,1),
            IF(OR(OR(D6="Peter Muster",D6=""),D9="",D10="",D11="",AND(Role=Masterdata!$E$7,D12=""),SubventionInPercent="",D32="",D35="",D37="",D38="",D39="",D40=""),
              OFFSET(Text_DE,41,IF(Language="DE",0,1),1,1),
              ""
            )
          )
        )
      )
    )
  )
)</f>
        <v>Bitte alle Fehler beheben (dunkelrot hinterlegte Felder mit gelber Schrift)</v>
      </c>
      <c r="B28" s="51"/>
      <c r="C28" s="51"/>
      <c r="D28" s="51"/>
      <c r="E28" s="51"/>
      <c r="F28" s="51"/>
      <c r="G28" s="51"/>
      <c r="H28" s="51"/>
      <c r="I28" s="51"/>
    </row>
    <row r="29" spans="1:16" ht="6" customHeight="1" thickBot="1" x14ac:dyDescent="0.4">
      <c r="A29" s="7"/>
      <c r="B29" s="7"/>
      <c r="C29" s="7"/>
      <c r="D29" s="7"/>
      <c r="E29" s="7"/>
      <c r="F29" s="7"/>
    </row>
    <row r="30" spans="1:16" ht="20.149999999999999" customHeight="1" thickBot="1" x14ac:dyDescent="0.4">
      <c r="A30" s="76" t="str">
        <f ca="1">OFFSET(Text_DE,14,IF(Language="DE",0,1),1,1)</f>
        <v>Subvention (gemäss Elitesportplanung)</v>
      </c>
      <c r="B30" s="77"/>
      <c r="C30" s="78"/>
      <c r="D30" s="52">
        <v>1</v>
      </c>
      <c r="E30" s="52"/>
      <c r="F30" s="7"/>
      <c r="G30" s="10" t="s">
        <v>16</v>
      </c>
      <c r="H30" s="37">
        <f>SUM(I16:I27)</f>
        <v>0</v>
      </c>
    </row>
    <row r="31" spans="1:16" ht="20.149999999999999" customHeight="1" x14ac:dyDescent="0.35">
      <c r="A31" s="76" t="str">
        <f ca="1">OFFSET(Text_DE,15,IF(Language="DE",0,1),1,1)</f>
        <v>Platzierung im Wettkampf</v>
      </c>
      <c r="B31" s="77"/>
      <c r="C31" s="78"/>
      <c r="D31" s="53"/>
      <c r="E31" s="53"/>
      <c r="F31" s="7"/>
      <c r="G31" s="25" t="s">
        <v>17</v>
      </c>
      <c r="H31" s="25"/>
    </row>
    <row r="32" spans="1:16" ht="20.149999999999999" customHeight="1" thickBot="1" x14ac:dyDescent="0.4">
      <c r="A32" s="79" t="str">
        <f ca="1">OFFSET(Text_DE,16,IF(Language="DE",0,1),1,1)</f>
        <v>Begründung der Subvention (z.B. Teammember, 1. Rang im Einzel, etc.)</v>
      </c>
      <c r="B32" s="80"/>
      <c r="C32" s="81"/>
      <c r="D32" s="54"/>
      <c r="E32" s="54"/>
      <c r="F32" s="7"/>
      <c r="G32" s="8" t="str">
        <f t="shared" ref="G32:G38" ca="1" si="6">OFFSET(Kostenarten_DE,ROW(G32)-ROW(G$32),0,1,1)</f>
        <v>Reise/Voyage</v>
      </c>
      <c r="H32" s="31" cm="1">
        <f t="array" aca="1" ref="H32" ca="1">IF(OR(A$28&lt;&gt;"",A$28&lt;&gt;OFFSET(Text_DE,33,IF(Language="DE",0,1))),SUMIF(CostType,G32,AmountInCHF),NA())</f>
        <v>0</v>
      </c>
    </row>
    <row r="33" spans="1:8" ht="20.149999999999999" customHeight="1" thickBot="1" x14ac:dyDescent="0.4">
      <c r="A33" s="79" t="str">
        <f ca="1">OFFSET(Text_DE,39,IF(Language="DE",0,1),1,1)&amp;" "</f>
        <v xml:space="preserve">Total Vergütung (Spesen + Salär), CHF </v>
      </c>
      <c r="B33" s="80"/>
      <c r="C33" s="81"/>
      <c r="D33" s="55" t="e">
        <f ca="1">IF(OR(A28="",A28=OFFSET(Text_DE,33,IF(Language="DE",0,1),1,1)),SUM(H32:H38)*SubventionInPercent,NA())</f>
        <v>#N/A</v>
      </c>
      <c r="E33" s="56"/>
      <c r="F33" s="7"/>
      <c r="G33" s="8" t="str">
        <f t="shared" ca="1" si="6"/>
        <v>Unterkunft/Logement</v>
      </c>
      <c r="H33" s="31" cm="1">
        <f t="array" aca="1" ref="H33" ca="1">IF(OR(A$28&lt;&gt;"",A$28&lt;&gt;OFFSET(Text_DE,33,IF(Language="DE",0,1))),SUMIF(CostType,G33,AmountInCHF),NA())</f>
        <v>0</v>
      </c>
    </row>
    <row r="34" spans="1:8" ht="20.149999999999999" customHeight="1" x14ac:dyDescent="0.35">
      <c r="A34" s="7"/>
      <c r="B34" s="7"/>
      <c r="C34" s="7"/>
      <c r="D34" s="7"/>
      <c r="E34" s="7"/>
      <c r="F34" s="7"/>
      <c r="G34" s="8" t="str">
        <f t="shared" ca="1" si="6"/>
        <v>Verpflegung/Ravitaillement</v>
      </c>
      <c r="H34" s="31" cm="1">
        <f t="array" aca="1" ref="H34" ca="1">IF(OR(A$28&lt;&gt;"",A$28&lt;&gt;OFFSET(Text_DE,33,IF(Language="DE",0,1))),SUMIF(CostType,G34,AmountInCHF),NA())</f>
        <v>0</v>
      </c>
    </row>
    <row r="35" spans="1:8" ht="20.149999999999999" customHeight="1" x14ac:dyDescent="0.35">
      <c r="A35" s="60" t="str">
        <f ca="1">OFFSET(Text_DE,17,IF(Language="DE",0,1),1,1)</f>
        <v>Name der Bank / Post</v>
      </c>
      <c r="B35" s="61"/>
      <c r="C35" s="62"/>
      <c r="D35" s="59"/>
      <c r="E35" s="59"/>
      <c r="G35" s="8" t="str">
        <f t="shared" ca="1" si="6"/>
        <v>Startgeld/Frais d'engagement</v>
      </c>
      <c r="H35" s="31" cm="1">
        <f t="array" aca="1" ref="H35" ca="1">IF(OR(A$28&lt;&gt;"",A$28&lt;&gt;OFFSET(Text_DE,33,IF(Language="DE",0,1))),SUMIF(CostType,G35,AmountInCHF),NA())</f>
        <v>0</v>
      </c>
    </row>
    <row r="36" spans="1:8" ht="20.149999999999999" customHeight="1" x14ac:dyDescent="0.35">
      <c r="A36" s="60" t="str">
        <f ca="1">OFFSET(Text_DE,42,IF(Language="DE",0,1),1,1)</f>
        <v>IBAN (nur bei Änderungen seit der letzten Spesenabrechnung)</v>
      </c>
      <c r="B36" s="61"/>
      <c r="C36" s="62"/>
      <c r="D36" s="59"/>
      <c r="E36" s="59"/>
      <c r="F36" s="7"/>
      <c r="G36" s="8" t="str">
        <f t="shared" ca="1" si="6"/>
        <v>Tagessatz/Taux journalier</v>
      </c>
      <c r="H36" s="31" cm="1">
        <f t="array" aca="1" ref="H36" ca="1">IF(OR(A$28&lt;&gt;"",A$28&lt;&gt;OFFSET(Text_DE,33,IF(Language="DE",0,1))),SUMIF(CostType,G36,AmountInCHF),NA())</f>
        <v>0</v>
      </c>
    </row>
    <row r="37" spans="1:8" ht="20.149999999999999" customHeight="1" x14ac:dyDescent="0.35">
      <c r="A37" s="82" t="str">
        <f ca="1">OFFSET(Text_DE,18,IF(Language="DE",0,1),1,1)</f>
        <v>Name und Adresse des Kontoinhabers</v>
      </c>
      <c r="B37" s="82"/>
      <c r="C37" s="83"/>
      <c r="D37" s="59"/>
      <c r="E37" s="59"/>
      <c r="F37" s="7"/>
      <c r="G37" s="8" t="str">
        <f t="shared" ca="1" si="6"/>
        <v>Stundensatz/Taux horaire</v>
      </c>
      <c r="H37" s="31" cm="1">
        <f t="array" aca="1" ref="H37" ca="1">IF(OR(A$28&lt;&gt;"",A$28&lt;&gt;OFFSET(Text_DE,33,IF(Language="DE",0,1))),SUMIF(CostType,G37,AmountInCHF),NA())</f>
        <v>0</v>
      </c>
    </row>
    <row r="38" spans="1:8" ht="20.149999999999999" customHeight="1" thickBot="1" x14ac:dyDescent="0.4">
      <c r="A38" s="84"/>
      <c r="B38" s="84"/>
      <c r="C38" s="85"/>
      <c r="D38" s="59"/>
      <c r="E38" s="59"/>
      <c r="G38" s="8" t="str">
        <f t="shared" ca="1" si="6"/>
        <v>Diverses/Divers</v>
      </c>
      <c r="H38" s="31" cm="1">
        <f t="array" aca="1" ref="H38" ca="1">IF(OR(A$28&lt;&gt;"",A$28&lt;&gt;OFFSET(Text_DE,33,IF(Language="DE",0,1))),SUMIF(CostType,G38,AmountInCHF),NA())</f>
        <v>0</v>
      </c>
    </row>
    <row r="39" spans="1:8" ht="23.15" customHeight="1" thickBot="1" x14ac:dyDescent="0.4">
      <c r="A39" s="86"/>
      <c r="B39" s="86"/>
      <c r="C39" s="87"/>
      <c r="D39" s="59"/>
      <c r="E39" s="59"/>
      <c r="G39" s="29" t="str">
        <f ca="1">OFFSET(Text_DE,20,IF(Language="DE",0,1),1,1)</f>
        <v>Eigenleistung</v>
      </c>
      <c r="H39" s="30">
        <f ca="1">SUM(H32:H38)*(1-SubventionInPercent)</f>
        <v>0</v>
      </c>
    </row>
    <row r="40" spans="1:8" ht="29.15" customHeight="1" thickBot="1" x14ac:dyDescent="0.4">
      <c r="A40" s="60" t="str">
        <f ca="1">OFFSET(Text_DE,19,IF(Language="DE",0,1),1,1)</f>
        <v>Datum</v>
      </c>
      <c r="B40" s="61"/>
      <c r="C40" s="62"/>
      <c r="D40" s="41"/>
      <c r="E40" s="42"/>
      <c r="G40" s="36" t="str">
        <f ca="1">OFFSET(Text_DE,38,IF(Language="DE",0,1),1,1)</f>
        <v>Vergütung</v>
      </c>
      <c r="H40" s="35" t="e">
        <f ca="1">D33</f>
        <v>#N/A</v>
      </c>
    </row>
    <row r="41" spans="1:8" ht="29.15" customHeight="1" x14ac:dyDescent="0.35">
      <c r="A41" s="88" t="str">
        <f ca="1">OFFSET(Text_DE,23,IF(Language="DE",0,1),1,1)</f>
        <v>Diese Abrechnung ist vollständig ausgefüllt. Mit der Einreichung wird deren Korrektheit bestätigt.</v>
      </c>
      <c r="B41" s="88"/>
      <c r="C41" s="88"/>
      <c r="D41" s="88"/>
      <c r="E41" s="88"/>
      <c r="G41" s="91" t="str">
        <f ca="1">OFFSET(Text_DE,37,IF(Language="DE",0,1),1,1)</f>
        <v>Salär (nur wenn Angestellter Swiss Fencing)</v>
      </c>
      <c r="H41" s="91"/>
    </row>
    <row r="42" spans="1:8" ht="5.15" customHeight="1" x14ac:dyDescent="0.35"/>
    <row r="43" spans="1:8" ht="19" customHeight="1" x14ac:dyDescent="0.35">
      <c r="A43" s="89" t="str">
        <f ca="1">OFFSET(Text_DE,21,IF(Language="DE",0,1),1,1)</f>
        <v>Bitte alle Belege auf den Reiter «Belege» kopieren - sonst keine Auszahlung!</v>
      </c>
      <c r="B43" s="89"/>
      <c r="C43" s="89"/>
      <c r="D43" s="89"/>
      <c r="E43" s="89"/>
    </row>
    <row r="44" spans="1:8" ht="19" customHeight="1" x14ac:dyDescent="0.35">
      <c r="A44" s="90" t="str">
        <f ca="1">LEFT(OFFSET(Text_DE,22,IF(Language="DE",0,1),1,1),FIND("%T",OFFSET(Text_DE,22,IF(Language="DE",0,1),1,1))-1)&amp;VLOOKUP(Role&amp;IF(Role=Masterdata!E4,IF(OR(D11=Masterdata!F4,D11=Masterdata!F5),"-"&amp;D11,""),""),Recipient_DE,IF(Language="DE",2,3),FALSE)&amp;RIGHT(OFFSET(Text_DE,22,IF(Language="DE",0,1),1,1),LEN(OFFSET(Text_DE,22,IF(Language="DE",0,1),1,1))-FIND("%T",OFFSET(Text_DE,22,IF(Language="DE",0,1),1,1))-1)</f>
        <v>Bitte das Formular an info@swiss-fencing.ch zurücksenden!</v>
      </c>
      <c r="B44" s="90"/>
      <c r="C44" s="90"/>
      <c r="D44" s="90"/>
      <c r="E44" s="90"/>
    </row>
    <row r="45" spans="1:8" ht="19" customHeight="1" x14ac:dyDescent="0.35"/>
  </sheetData>
  <sheetProtection algorithmName="SHA-512" hashValue="bEBeIhx6+kz0A2rSb9XDofIQY3Vsiy14nDpg2fsexWUOoD0RWj0X1FPPI3DOtTYx4vstizy918tWB3JRnkMTUg==" saltValue="x5spAoeIHyovEfsvgTQFXA==" spinCount="100000" sheet="1" objects="1" scenarios="1"/>
  <mergeCells count="51">
    <mergeCell ref="A41:E41"/>
    <mergeCell ref="A43:E43"/>
    <mergeCell ref="A44:E44"/>
    <mergeCell ref="G41:H41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40:C40"/>
    <mergeCell ref="A6:C6"/>
    <mergeCell ref="A9:C9"/>
    <mergeCell ref="A10:C10"/>
    <mergeCell ref="A11:C11"/>
    <mergeCell ref="A12:C12"/>
    <mergeCell ref="A8:B8"/>
    <mergeCell ref="A15:C15"/>
    <mergeCell ref="A30:C30"/>
    <mergeCell ref="A31:C31"/>
    <mergeCell ref="A32:C32"/>
    <mergeCell ref="A33:C33"/>
    <mergeCell ref="A37:C39"/>
    <mergeCell ref="D4:H4"/>
    <mergeCell ref="D1:H1"/>
    <mergeCell ref="D39:E39"/>
    <mergeCell ref="D38:E38"/>
    <mergeCell ref="D36:E36"/>
    <mergeCell ref="D37:E37"/>
    <mergeCell ref="D40:E40"/>
    <mergeCell ref="D10:E10"/>
    <mergeCell ref="D6:E6"/>
    <mergeCell ref="D9:E9"/>
    <mergeCell ref="D12:E12"/>
    <mergeCell ref="D8:E8"/>
    <mergeCell ref="D11:E11"/>
    <mergeCell ref="A28:I28"/>
    <mergeCell ref="D30:E30"/>
    <mergeCell ref="D31:E31"/>
    <mergeCell ref="D32:E32"/>
    <mergeCell ref="D33:E33"/>
    <mergeCell ref="G14:I14"/>
    <mergeCell ref="D35:E35"/>
    <mergeCell ref="A35:C35"/>
    <mergeCell ref="A36:C36"/>
  </mergeCells>
  <phoneticPr fontId="9" type="noConversion"/>
  <conditionalFormatting sqref="A16:C27">
    <cfRule type="expression" dxfId="18" priority="15">
      <formula>$P16</formula>
    </cfRule>
  </conditionalFormatting>
  <conditionalFormatting sqref="A28:F28">
    <cfRule type="expression" dxfId="17" priority="26">
      <formula>SUM($J16:$J27)&gt;0</formula>
    </cfRule>
    <cfRule type="expression" dxfId="16" priority="29">
      <formula>A28&lt;&gt;""</formula>
    </cfRule>
  </conditionalFormatting>
  <conditionalFormatting sqref="A28:I28">
    <cfRule type="expression" dxfId="15" priority="1" stopIfTrue="1">
      <formula>$A$28=OFFSET(Text_DE,33,IF(Language="DE",0,1),1,1)</formula>
    </cfRule>
  </conditionalFormatting>
  <conditionalFormatting sqref="D16:D27 G16:G27">
    <cfRule type="expression" dxfId="14" priority="16">
      <formula>$M16</formula>
    </cfRule>
  </conditionalFormatting>
  <conditionalFormatting sqref="D16:D27">
    <cfRule type="expression" dxfId="13" priority="22">
      <formula>$L16</formula>
    </cfRule>
  </conditionalFormatting>
  <conditionalFormatting sqref="D35 D37:E40">
    <cfRule type="expression" dxfId="12" priority="2">
      <formula>D35=""</formula>
    </cfRule>
  </conditionalFormatting>
  <conditionalFormatting sqref="D6:E6">
    <cfRule type="expression" dxfId="11" priority="13">
      <formula>OR(D6="",D6="Peter Muster")</formula>
    </cfRule>
  </conditionalFormatting>
  <conditionalFormatting sqref="D9:E11">
    <cfRule type="expression" dxfId="10" priority="9">
      <formula>D9=""</formula>
    </cfRule>
  </conditionalFormatting>
  <conditionalFormatting sqref="D16:E27">
    <cfRule type="expression" dxfId="8" priority="21">
      <formula>$K16</formula>
    </cfRule>
  </conditionalFormatting>
  <conditionalFormatting sqref="D30:E30">
    <cfRule type="expression" dxfId="7" priority="8">
      <formula>D30=""</formula>
    </cfRule>
  </conditionalFormatting>
  <conditionalFormatting sqref="D32:E32">
    <cfRule type="expression" dxfId="6" priority="5">
      <formula>D32=""</formula>
    </cfRule>
  </conditionalFormatting>
  <conditionalFormatting sqref="G16:G27">
    <cfRule type="expression" dxfId="5" priority="23">
      <formula>$N16</formula>
    </cfRule>
  </conditionalFormatting>
  <conditionalFormatting sqref="H16:H27">
    <cfRule type="expression" dxfId="2" priority="24">
      <formula>$O16</formula>
    </cfRule>
  </conditionalFormatting>
  <conditionalFormatting sqref="I16:I27">
    <cfRule type="expression" dxfId="1" priority="25">
      <formula>ISNA($I16)</formula>
    </cfRule>
  </conditionalFormatting>
  <dataValidations count="7">
    <dataValidation type="list" allowBlank="1" showInputMessage="1" showErrorMessage="1" sqref="R4" xr:uid="{80C865C2-8E7A-5842-8099-3368F9DEC30F}">
      <formula1>"DE,FR"</formula1>
    </dataValidation>
    <dataValidation type="list" allowBlank="1" showInputMessage="1" showErrorMessage="1" sqref="D16:D27" xr:uid="{3A01A7EE-D9F6-2A41-8661-AB65435CC678}">
      <formula1>Kostenarten_DE</formula1>
    </dataValidation>
    <dataValidation type="list" allowBlank="1" showInputMessage="1" showErrorMessage="1" sqref="E16:E27" xr:uid="{D4B49E0B-3F60-BD48-A8CB-635232B2725B}">
      <formula1>ForeignCurrencySymbol</formula1>
    </dataValidation>
    <dataValidation type="list" allowBlank="1" showInputMessage="1" showErrorMessage="1" sqref="H8:H12" xr:uid="{79303DB2-FCF7-434E-B1EC-8B75D0FDF0B7}">
      <formula1>"1,10,100,1000,10000,100000"</formula1>
    </dataValidation>
    <dataValidation type="list" allowBlank="1" showInputMessage="1" showErrorMessage="1" sqref="D30" xr:uid="{E344CF8A-4ED4-FD4E-9674-663E69B9A068}">
      <formula1>"0%,40%,50%,60%,80%,100%"</formula1>
    </dataValidation>
    <dataValidation type="list" allowBlank="1" showInputMessage="1" showErrorMessage="1" sqref="D8:E8" xr:uid="{6C941458-E72E-0A4F-A579-91D044C23380}">
      <formula1>Role_DE</formula1>
    </dataValidation>
    <dataValidation type="list" allowBlank="1" showInputMessage="1" showErrorMessage="1" sqref="D11:E11" xr:uid="{D3645D92-E0E5-DA45-9524-3CB943A8373E}">
      <formula1>Category_DE</formula1>
    </dataValidation>
  </dataValidations>
  <pageMargins left="0.7" right="0.7" top="0.78740157499999996" bottom="0.78740157499999996" header="0.3" footer="0.3"/>
  <pageSetup paperSize="9" scale="62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4C28313-20CB-EF4B-9FDA-E61FB8CA8C8D}">
            <xm:f>AND(D12="",Role=Masterdata!$E$7)</xm:f>
            <x14:dxf>
              <font>
                <b/>
                <i/>
                <color rgb="FFFFFF00"/>
              </font>
              <fill>
                <patternFill>
                  <bgColor rgb="FFC00000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expression" priority="17" id="{5D40235A-0576-AA44-848D-A4355D46B2E6}">
            <xm:f>$B$8=Masterdata!$G$5</xm:f>
            <x14:dxf>
              <font>
                <color theme="0"/>
              </font>
              <fill>
                <patternFill>
                  <bgColor theme="6" tint="-0.49998474074526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bottom style="thin">
                  <color auto="1"/>
                </bottom>
                <vertical/>
                <horizontal/>
              </border>
            </x14:dxf>
          </x14:cfRule>
          <xm:sqref>G41:H41</xm:sqref>
        </x14:conditionalFormatting>
        <x14:conditionalFormatting xmlns:xm="http://schemas.microsoft.com/office/excel/2006/main">
          <x14:cfRule type="expression" priority="37" id="{5F671FB9-AAB6-624A-BBA5-036E3AC28C01}">
            <xm:f>OR(D16=Masterdata!$B$8,D16=Masterdata!$B$9)</xm:f>
            <x14:dxf>
              <fill>
                <patternFill>
                  <bgColor theme="0" tint="-0.14996795556505021"/>
                </patternFill>
              </fill>
            </x14:dxf>
          </x14:cfRule>
          <xm:sqref>G16:I27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2E44-FD0D-2B4E-86F8-2005FA6BA3A7}">
  <sheetPr codeName="Sheet4"/>
  <dimension ref="A1"/>
  <sheetViews>
    <sheetView zoomScaleNormal="100" workbookViewId="0">
      <selection activeCell="R5" sqref="R5"/>
    </sheetView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1697-566A-A74E-95A0-5FA4BB470DEA}">
  <sheetPr codeName="Sheet2"/>
  <dimension ref="A2:J47"/>
  <sheetViews>
    <sheetView zoomScale="150" zoomScaleNormal="150" workbookViewId="0">
      <selection activeCell="D40" sqref="D40"/>
    </sheetView>
  </sheetViews>
  <sheetFormatPr baseColWidth="10" defaultColWidth="11.453125" defaultRowHeight="14.5" x14ac:dyDescent="0.35"/>
  <cols>
    <col min="1" max="1" width="3" customWidth="1"/>
    <col min="2" max="2" width="20.1796875" customWidth="1"/>
    <col min="3" max="4" width="28.453125" customWidth="1"/>
    <col min="8" max="8" width="16.54296875" customWidth="1"/>
  </cols>
  <sheetData>
    <row r="2" spans="1:10" s="2" customFormat="1" ht="18.5" x14ac:dyDescent="0.45">
      <c r="H2" s="95" t="s">
        <v>18</v>
      </c>
      <c r="I2" s="95"/>
      <c r="J2" s="95"/>
    </row>
    <row r="3" spans="1:10" x14ac:dyDescent="0.35"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 x14ac:dyDescent="0.35">
      <c r="A4">
        <v>0</v>
      </c>
      <c r="B4" s="3" t="s">
        <v>15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30</v>
      </c>
      <c r="I4" s="3" t="s">
        <v>33</v>
      </c>
      <c r="J4" s="3" t="s">
        <v>33</v>
      </c>
    </row>
    <row r="5" spans="1:10" x14ac:dyDescent="0.35">
      <c r="A5">
        <v>1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33</v>
      </c>
      <c r="J5" s="3" t="s">
        <v>33</v>
      </c>
    </row>
    <row r="6" spans="1:10" x14ac:dyDescent="0.35">
      <c r="A6">
        <v>2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H6" s="3" t="s">
        <v>46</v>
      </c>
      <c r="I6" s="3" t="s">
        <v>33</v>
      </c>
      <c r="J6" s="3" t="s">
        <v>33</v>
      </c>
    </row>
    <row r="7" spans="1:10" x14ac:dyDescent="0.35">
      <c r="A7">
        <v>3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H7" s="3" t="s">
        <v>37</v>
      </c>
      <c r="I7" s="3" t="s">
        <v>33</v>
      </c>
      <c r="J7" s="3" t="s">
        <v>33</v>
      </c>
    </row>
    <row r="8" spans="1:10" x14ac:dyDescent="0.35">
      <c r="A8">
        <v>4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H8" s="3" t="s">
        <v>44</v>
      </c>
      <c r="I8" s="3" t="s">
        <v>33</v>
      </c>
      <c r="J8" s="3" t="s">
        <v>33</v>
      </c>
    </row>
    <row r="9" spans="1:10" x14ac:dyDescent="0.35">
      <c r="A9">
        <v>5</v>
      </c>
      <c r="B9" s="3" t="s">
        <v>57</v>
      </c>
      <c r="C9" s="3" t="s">
        <v>58</v>
      </c>
      <c r="D9" s="3" t="s">
        <v>59</v>
      </c>
      <c r="E9" s="3" t="s">
        <v>3</v>
      </c>
      <c r="F9" s="3" t="s">
        <v>7</v>
      </c>
      <c r="H9" s="3" t="s">
        <v>50</v>
      </c>
      <c r="I9" s="3" t="s">
        <v>33</v>
      </c>
      <c r="J9" s="3" t="s">
        <v>33</v>
      </c>
    </row>
    <row r="10" spans="1:10" x14ac:dyDescent="0.35">
      <c r="A10">
        <v>6</v>
      </c>
      <c r="B10" s="3" t="s">
        <v>14</v>
      </c>
      <c r="C10" s="3" t="s">
        <v>60</v>
      </c>
      <c r="D10" s="3" t="s">
        <v>61</v>
      </c>
      <c r="H10" s="3" t="s">
        <v>55</v>
      </c>
      <c r="I10" s="3" t="s">
        <v>33</v>
      </c>
      <c r="J10" s="3" t="s">
        <v>33</v>
      </c>
    </row>
    <row r="11" spans="1:10" x14ac:dyDescent="0.35">
      <c r="A11">
        <v>7</v>
      </c>
      <c r="C11" s="3" t="s">
        <v>62</v>
      </c>
      <c r="D11" s="3" t="s">
        <v>63</v>
      </c>
      <c r="H11" s="3" t="s">
        <v>3</v>
      </c>
      <c r="I11" s="3" t="s">
        <v>33</v>
      </c>
      <c r="J11" s="3" t="s">
        <v>33</v>
      </c>
    </row>
    <row r="12" spans="1:10" x14ac:dyDescent="0.35">
      <c r="A12">
        <v>8</v>
      </c>
      <c r="C12" s="3" t="s">
        <v>64</v>
      </c>
      <c r="D12" s="3" t="s">
        <v>65</v>
      </c>
    </row>
    <row r="13" spans="1:10" x14ac:dyDescent="0.35">
      <c r="A13">
        <v>9</v>
      </c>
      <c r="C13" s="3" t="s">
        <v>66</v>
      </c>
      <c r="D13" s="3" t="s">
        <v>67</v>
      </c>
    </row>
    <row r="14" spans="1:10" x14ac:dyDescent="0.35">
      <c r="A14">
        <v>10</v>
      </c>
      <c r="C14" s="3" t="s">
        <v>68</v>
      </c>
      <c r="D14" s="3" t="s">
        <v>69</v>
      </c>
    </row>
    <row r="15" spans="1:10" x14ac:dyDescent="0.35">
      <c r="A15">
        <v>11</v>
      </c>
      <c r="C15" s="3" t="s">
        <v>70</v>
      </c>
      <c r="D15" s="3" t="s">
        <v>71</v>
      </c>
    </row>
    <row r="16" spans="1:10" x14ac:dyDescent="0.35">
      <c r="A16">
        <v>12</v>
      </c>
      <c r="C16" s="3" t="s">
        <v>72</v>
      </c>
      <c r="D16" s="3" t="s">
        <v>73</v>
      </c>
    </row>
    <row r="17" spans="1:4" x14ac:dyDescent="0.35">
      <c r="A17">
        <v>13</v>
      </c>
      <c r="C17" s="3" t="s">
        <v>1</v>
      </c>
      <c r="D17" s="3" t="s">
        <v>74</v>
      </c>
    </row>
    <row r="18" spans="1:4" x14ac:dyDescent="0.35">
      <c r="A18">
        <v>14</v>
      </c>
      <c r="C18" s="3" t="s">
        <v>75</v>
      </c>
      <c r="D18" s="3" t="s">
        <v>76</v>
      </c>
    </row>
    <row r="19" spans="1:4" x14ac:dyDescent="0.35">
      <c r="A19">
        <v>15</v>
      </c>
      <c r="C19" s="3" t="s">
        <v>77</v>
      </c>
      <c r="D19" s="3" t="s">
        <v>78</v>
      </c>
    </row>
    <row r="20" spans="1:4" x14ac:dyDescent="0.35">
      <c r="A20">
        <v>16</v>
      </c>
      <c r="C20" s="3" t="s">
        <v>79</v>
      </c>
      <c r="D20" s="3" t="s">
        <v>80</v>
      </c>
    </row>
    <row r="21" spans="1:4" x14ac:dyDescent="0.35">
      <c r="A21">
        <v>17</v>
      </c>
      <c r="C21" s="3" t="s">
        <v>81</v>
      </c>
      <c r="D21" s="3" t="s">
        <v>82</v>
      </c>
    </row>
    <row r="22" spans="1:4" x14ac:dyDescent="0.35">
      <c r="A22">
        <v>18</v>
      </c>
      <c r="C22" s="3" t="s">
        <v>83</v>
      </c>
      <c r="D22" s="3" t="s">
        <v>84</v>
      </c>
    </row>
    <row r="23" spans="1:4" x14ac:dyDescent="0.35">
      <c r="A23">
        <v>19</v>
      </c>
      <c r="C23" s="3" t="s">
        <v>85</v>
      </c>
      <c r="D23" s="3" t="s">
        <v>86</v>
      </c>
    </row>
    <row r="24" spans="1:4" x14ac:dyDescent="0.35">
      <c r="A24">
        <v>20</v>
      </c>
      <c r="C24" s="3" t="s">
        <v>87</v>
      </c>
      <c r="D24" s="3" t="s">
        <v>88</v>
      </c>
    </row>
    <row r="25" spans="1:4" x14ac:dyDescent="0.35">
      <c r="A25">
        <v>21</v>
      </c>
      <c r="C25" s="3" t="s">
        <v>89</v>
      </c>
      <c r="D25" s="3" t="s">
        <v>90</v>
      </c>
    </row>
    <row r="26" spans="1:4" x14ac:dyDescent="0.35">
      <c r="A26">
        <v>22</v>
      </c>
      <c r="C26" s="3" t="s">
        <v>91</v>
      </c>
      <c r="D26" s="3" t="s">
        <v>92</v>
      </c>
    </row>
    <row r="27" spans="1:4" x14ac:dyDescent="0.35">
      <c r="A27">
        <v>23</v>
      </c>
      <c r="C27" s="3" t="s">
        <v>93</v>
      </c>
      <c r="D27" s="3" t="s">
        <v>94</v>
      </c>
    </row>
    <row r="28" spans="1:4" x14ac:dyDescent="0.35">
      <c r="A28">
        <v>24</v>
      </c>
      <c r="C28" s="3" t="s">
        <v>95</v>
      </c>
      <c r="D28" s="3" t="s">
        <v>96</v>
      </c>
    </row>
    <row r="29" spans="1:4" x14ac:dyDescent="0.35">
      <c r="A29">
        <v>25</v>
      </c>
      <c r="C29" s="17" t="s">
        <v>97</v>
      </c>
      <c r="D29" s="17" t="s">
        <v>98</v>
      </c>
    </row>
    <row r="30" spans="1:4" ht="29" x14ac:dyDescent="0.35">
      <c r="A30">
        <v>26</v>
      </c>
      <c r="C30" s="17" t="s">
        <v>99</v>
      </c>
      <c r="D30" s="17" t="s">
        <v>100</v>
      </c>
    </row>
    <row r="31" spans="1:4" ht="29" x14ac:dyDescent="0.35">
      <c r="A31">
        <v>27</v>
      </c>
      <c r="C31" s="17" t="s">
        <v>101</v>
      </c>
      <c r="D31" s="17" t="s">
        <v>102</v>
      </c>
    </row>
    <row r="32" spans="1:4" ht="43.5" x14ac:dyDescent="0.35">
      <c r="A32">
        <v>28</v>
      </c>
      <c r="C32" s="17" t="s">
        <v>103</v>
      </c>
      <c r="D32" s="17" t="s">
        <v>104</v>
      </c>
    </row>
    <row r="33" spans="1:4" x14ac:dyDescent="0.35">
      <c r="A33">
        <v>29</v>
      </c>
      <c r="C33" s="3" t="s">
        <v>105</v>
      </c>
      <c r="D33" s="3" t="s">
        <v>106</v>
      </c>
    </row>
    <row r="34" spans="1:4" x14ac:dyDescent="0.35">
      <c r="A34">
        <v>30</v>
      </c>
      <c r="C34" s="3" t="s">
        <v>107</v>
      </c>
      <c r="D34" s="3" t="s">
        <v>108</v>
      </c>
    </row>
    <row r="35" spans="1:4" x14ac:dyDescent="0.35">
      <c r="A35">
        <v>31</v>
      </c>
      <c r="C35" s="3" t="s">
        <v>109</v>
      </c>
      <c r="D35" s="3" t="s">
        <v>110</v>
      </c>
    </row>
    <row r="36" spans="1:4" x14ac:dyDescent="0.35">
      <c r="A36">
        <v>32</v>
      </c>
      <c r="C36" s="3" t="s">
        <v>111</v>
      </c>
      <c r="D36" s="3" t="s">
        <v>112</v>
      </c>
    </row>
    <row r="37" spans="1:4" x14ac:dyDescent="0.35">
      <c r="A37">
        <v>33</v>
      </c>
      <c r="C37" s="3" t="s">
        <v>113</v>
      </c>
      <c r="D37" s="3" t="s">
        <v>114</v>
      </c>
    </row>
    <row r="38" spans="1:4" x14ac:dyDescent="0.35">
      <c r="A38">
        <v>34</v>
      </c>
      <c r="C38" s="3" t="s">
        <v>115</v>
      </c>
      <c r="D38" s="3" t="s">
        <v>116</v>
      </c>
    </row>
    <row r="39" spans="1:4" x14ac:dyDescent="0.35">
      <c r="A39">
        <v>35</v>
      </c>
      <c r="C39" s="3" t="s">
        <v>117</v>
      </c>
      <c r="D39" s="3" t="s">
        <v>118</v>
      </c>
    </row>
    <row r="40" spans="1:4" x14ac:dyDescent="0.35">
      <c r="A40">
        <v>36</v>
      </c>
      <c r="C40" s="3" t="s">
        <v>119</v>
      </c>
      <c r="D40" s="3" t="s">
        <v>120</v>
      </c>
    </row>
    <row r="41" spans="1:4" x14ac:dyDescent="0.35">
      <c r="A41">
        <v>37</v>
      </c>
      <c r="C41" s="3" t="s">
        <v>121</v>
      </c>
      <c r="D41" s="3" t="s">
        <v>122</v>
      </c>
    </row>
    <row r="42" spans="1:4" x14ac:dyDescent="0.35">
      <c r="A42">
        <v>38</v>
      </c>
      <c r="C42" s="3" t="s">
        <v>123</v>
      </c>
      <c r="D42" s="3" t="s">
        <v>124</v>
      </c>
    </row>
    <row r="43" spans="1:4" x14ac:dyDescent="0.35">
      <c r="A43">
        <v>39</v>
      </c>
      <c r="C43" s="3" t="s">
        <v>125</v>
      </c>
      <c r="D43" s="3" t="s">
        <v>126</v>
      </c>
    </row>
    <row r="44" spans="1:4" x14ac:dyDescent="0.35">
      <c r="A44">
        <v>40</v>
      </c>
      <c r="C44" s="3" t="s">
        <v>127</v>
      </c>
      <c r="D44" s="3" t="s">
        <v>128</v>
      </c>
    </row>
    <row r="45" spans="1:4" x14ac:dyDescent="0.35">
      <c r="A45">
        <v>41</v>
      </c>
      <c r="C45" s="3" t="s">
        <v>129</v>
      </c>
      <c r="D45" s="3" t="s">
        <v>130</v>
      </c>
    </row>
    <row r="46" spans="1:4" x14ac:dyDescent="0.35">
      <c r="A46">
        <v>42</v>
      </c>
      <c r="C46" s="3" t="s">
        <v>131</v>
      </c>
      <c r="D46" s="3" t="s">
        <v>132</v>
      </c>
    </row>
    <row r="47" spans="1:4" x14ac:dyDescent="0.35">
      <c r="A47">
        <v>43</v>
      </c>
      <c r="C47" s="3" t="s">
        <v>133</v>
      </c>
      <c r="D47" s="3" t="s">
        <v>134</v>
      </c>
    </row>
  </sheetData>
  <sheetProtection algorithmName="SHA-512" hashValue="WeHHlCRbLA1/IQRnjAAbjgJfCB3FxyYDgLjVOuxahd7HzPUdAoIPz/5IkUmFvw9WTfZR2xjKrxV5NzGQleqLyQ==" saltValue="KHqN0MDL9vcuXdnkJIVBEg==" spinCount="100000" sheet="1" objects="1" scenarios="1"/>
  <mergeCells count="1">
    <mergeCell ref="H2:J2"/>
  </mergeCells>
  <conditionalFormatting sqref="I35:I36">
    <cfRule type="expression" dxfId="0" priority="1">
      <formula>$G$5</formula>
    </cfRule>
  </conditionalFormatting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e989d7-e873-4dd1-8d6d-9ecd1c5831c4">
      <Terms xmlns="http://schemas.microsoft.com/office/infopath/2007/PartnerControls"/>
    </lcf76f155ced4ddcb4097134ff3c332f>
    <TaxCatchAll xmlns="7720a717-f75c-465f-8057-c0dd7faa4bc8" xsi:nil="true"/>
    <SharedWithUsers xmlns="7720a717-f75c-465f-8057-c0dd7faa4bc8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57FBA16F6ECE4682A255241CBB8B91" ma:contentTypeVersion="14" ma:contentTypeDescription="Ein neues Dokument erstellen." ma:contentTypeScope="" ma:versionID="c054eeb6ba8e044f99b40a1a8e901d22">
  <xsd:schema xmlns:xsd="http://www.w3.org/2001/XMLSchema" xmlns:xs="http://www.w3.org/2001/XMLSchema" xmlns:p="http://schemas.microsoft.com/office/2006/metadata/properties" xmlns:ns2="52e989d7-e873-4dd1-8d6d-9ecd1c5831c4" xmlns:ns3="7720a717-f75c-465f-8057-c0dd7faa4bc8" targetNamespace="http://schemas.microsoft.com/office/2006/metadata/properties" ma:root="true" ma:fieldsID="d46f60849406413eebd6173c232f834b" ns2:_="" ns3:_="">
    <xsd:import namespace="52e989d7-e873-4dd1-8d6d-9ecd1c5831c4"/>
    <xsd:import namespace="7720a717-f75c-465f-8057-c0dd7faa4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989d7-e873-4dd1-8d6d-9ecd1c5831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7d515a38-8332-49d1-be5b-3e0aeb802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0a717-f75c-465f-8057-c0dd7faa4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19f3779-c780-4dd5-95f4-d211d7aa8cda}" ma:internalName="TaxCatchAll" ma:showField="CatchAllData" ma:web="7720a717-f75c-465f-8057-c0dd7faa4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F4CE4-737A-4B9E-8CE2-0BE148DC8A29}">
  <ds:schemaRefs>
    <ds:schemaRef ds:uri="http://schemas.microsoft.com/office/2006/metadata/properties"/>
    <ds:schemaRef ds:uri="http://schemas.microsoft.com/office/infopath/2007/PartnerControls"/>
    <ds:schemaRef ds:uri="52e989d7-e873-4dd1-8d6d-9ecd1c5831c4"/>
    <ds:schemaRef ds:uri="7720a717-f75c-465f-8057-c0dd7faa4bc8"/>
  </ds:schemaRefs>
</ds:datastoreItem>
</file>

<file path=customXml/itemProps2.xml><?xml version="1.0" encoding="utf-8"?>
<ds:datastoreItem xmlns:ds="http://schemas.openxmlformats.org/officeDocument/2006/customXml" ds:itemID="{BC2F09E3-E3EA-4AFA-851E-88B809BD4B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4FB858-D855-4FA5-BA0D-AC1FD2E89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e989d7-e873-4dd1-8d6d-9ecd1c5831c4"/>
    <ds:schemaRef ds:uri="7720a717-f75c-465f-8057-c0dd7faa4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17</vt:i4>
      </vt:variant>
    </vt:vector>
  </HeadingPairs>
  <TitlesOfParts>
    <vt:vector size="20" baseType="lpstr">
      <vt:lpstr>Spesen - Frais</vt:lpstr>
      <vt:lpstr>Belege - Justificatifs</vt:lpstr>
      <vt:lpstr>Masterdata</vt:lpstr>
      <vt:lpstr>AmountInCHF</vt:lpstr>
      <vt:lpstr>Boolean_DE</vt:lpstr>
      <vt:lpstr>Category_DE</vt:lpstr>
      <vt:lpstr>CostType</vt:lpstr>
      <vt:lpstr>Currency</vt:lpstr>
      <vt:lpstr>'Spesen - Frais'!Druckbereich</vt:lpstr>
      <vt:lpstr>ForeignCurrency</vt:lpstr>
      <vt:lpstr>ForeignCurrencySymbol</vt:lpstr>
      <vt:lpstr>Kostenarten_DE</vt:lpstr>
      <vt:lpstr>Language</vt:lpstr>
      <vt:lpstr>Quantity</vt:lpstr>
      <vt:lpstr>Recipient_DE</vt:lpstr>
      <vt:lpstr>Role</vt:lpstr>
      <vt:lpstr>Role_DE</vt:lpstr>
      <vt:lpstr>SubventionInPercent</vt:lpstr>
      <vt:lpstr>Text_DE</vt:lpstr>
      <vt:lpstr>Text_FR</vt:lpstr>
    </vt:vector>
  </TitlesOfParts>
  <Manager/>
  <Company>Swiss Olympic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Habegger</dc:creator>
  <cp:keywords/>
  <dc:description/>
  <cp:lastModifiedBy>Alessio Pietra</cp:lastModifiedBy>
  <cp:revision/>
  <dcterms:created xsi:type="dcterms:W3CDTF">2013-08-09T11:38:04Z</dcterms:created>
  <dcterms:modified xsi:type="dcterms:W3CDTF">2026-07-27T11:44:27Z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0x0101004457FBA16F6ECE4682A255241CBB8B91</vt:lpwstr>
  </property>
  <property fmtid="{D5CDD505-2E9C-101B-9397-08002B2CF9AE}" pid="3" name="MediaServiceImageTags">
    <vt:lpwstr/>
  </property>
  <property fmtid="{D5CDD505-2E9C-101B-9397-08002B2CF9AE}" pid="4" name="Order">
    <vt:r8>38300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